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3.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4.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5.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nhs.sharepoint.com/sites/COVIDVaccinationReportingLondon/Shared Documents/PC-PH/Public Health/Immunisations/COVID_Flu/HCW/AW25/"/>
    </mc:Choice>
  </mc:AlternateContent>
  <xr:revisionPtr revIDLastSave="195" documentId="8_{5D6E0E6C-131A-4E81-828C-54804BC18F3E}" xr6:coauthVersionLast="47" xr6:coauthVersionMax="47" xr10:uidLastSave="{B335DE39-BB16-4323-BD65-64C886EA40F3}"/>
  <bookViews>
    <workbookView xWindow="-80" yWindow="-80" windowWidth="22720" windowHeight="14480" tabRatio="845" firstSheet="4" activeTab="4" xr2:uid="{2D406429-45BD-47DE-AA48-C038DEB40995}"/>
  </bookViews>
  <sheets>
    <sheet name="data1" sheetId="3" state="hidden" r:id="rId1"/>
    <sheet name="data2" sheetId="18" state="hidden" r:id="rId2"/>
    <sheet name="COVER" sheetId="17" state="hidden" r:id="rId3"/>
    <sheet name="AW25 Summary" sheetId="4" state="hidden" r:id="rId4"/>
    <sheet name="Summary" sheetId="21" r:id="rId5"/>
    <sheet name="YoY Acute Summary" sheetId="25" state="hidden" r:id="rId6"/>
    <sheet name="YoY MH+CH Summary" sheetId="26" state="hidden" r:id="rId7"/>
    <sheet name="YoY Specialist Summary" sheetId="27" state="hidden" r:id="rId8"/>
    <sheet name="YoY FL Weekly" sheetId="24" state="hidden" r:id="rId9"/>
    <sheet name="YoY FL Charts" sheetId="20" state="hidden" r:id="rId10"/>
    <sheet name="FL Location" sheetId="23" state="hidden" r:id="rId11"/>
    <sheet name="Staff Role" sheetId="31" r:id="rId12"/>
    <sheet name="Ethnicity" sheetId="6" r:id="rId13"/>
    <sheet name="Age Group" sheetId="32" r:id="rId14"/>
    <sheet name="YoY FL Detail Acute" sheetId="28" state="hidden" r:id="rId15"/>
    <sheet name="YoY FL Detail MH+CH" sheetId="29" state="hidden" r:id="rId16"/>
    <sheet name="YoY FL Detail Specialist" sheetId="30" state="hidden" r:id="rId17"/>
    <sheet name="FL Pivots" sheetId="16" state="hidden" r:id="rId18"/>
  </sheets>
  <calcPr calcId="191028"/>
  <pivotCaches>
    <pivotCache cacheId="0" r:id="rId19"/>
    <pivotCache cacheId="1" r:id="rId20"/>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32" l="1"/>
  <c r="D23" i="32"/>
  <c r="C24" i="32"/>
  <c r="D24" i="32"/>
  <c r="C25" i="32"/>
  <c r="D25" i="32"/>
  <c r="C26" i="32"/>
  <c r="D26" i="32"/>
  <c r="C27" i="32"/>
  <c r="D27" i="32"/>
  <c r="C28" i="32"/>
  <c r="D28" i="32"/>
  <c r="E28" i="32" s="1"/>
  <c r="C29" i="32"/>
  <c r="D29" i="32"/>
  <c r="C30" i="32"/>
  <c r="D30" i="32"/>
  <c r="C31" i="32"/>
  <c r="D31" i="32"/>
  <c r="D22" i="32"/>
  <c r="C22" i="32"/>
  <c r="C6" i="32"/>
  <c r="D6" i="32"/>
  <c r="C7" i="32"/>
  <c r="D7" i="32"/>
  <c r="C8" i="32"/>
  <c r="D8" i="32"/>
  <c r="C9" i="32"/>
  <c r="D9" i="32"/>
  <c r="C10" i="32"/>
  <c r="D10" i="32"/>
  <c r="E10" i="32" s="1"/>
  <c r="C11" i="32"/>
  <c r="D11" i="32"/>
  <c r="C12" i="32"/>
  <c r="D12" i="32"/>
  <c r="C13" i="32"/>
  <c r="D13" i="32"/>
  <c r="C14" i="32"/>
  <c r="D14" i="32"/>
  <c r="D5" i="32"/>
  <c r="C5" i="32"/>
  <c r="BB5" i="18"/>
  <c r="BB6" i="18"/>
  <c r="BB7" i="18"/>
  <c r="BB8" i="18"/>
  <c r="BB9" i="18"/>
  <c r="BB10" i="18"/>
  <c r="BB11" i="18"/>
  <c r="BB12" i="18"/>
  <c r="BB13" i="18"/>
  <c r="BB14" i="18"/>
  <c r="BB15" i="18"/>
  <c r="BB16" i="18"/>
  <c r="BB17" i="18"/>
  <c r="BB18" i="18"/>
  <c r="BB19" i="18"/>
  <c r="BB20" i="18"/>
  <c r="BB21" i="18"/>
  <c r="BB22" i="18"/>
  <c r="BB23" i="18"/>
  <c r="BB24" i="18"/>
  <c r="BB25" i="18"/>
  <c r="BB26" i="18"/>
  <c r="BB27" i="18"/>
  <c r="BB28" i="18"/>
  <c r="BB29" i="18"/>
  <c r="BB30" i="18"/>
  <c r="BB31" i="18"/>
  <c r="BB32" i="18"/>
  <c r="BB33" i="18"/>
  <c r="BB34" i="18"/>
  <c r="BB35" i="18"/>
  <c r="BB36" i="18"/>
  <c r="BB37" i="18"/>
  <c r="BB38" i="18"/>
  <c r="BB39" i="18"/>
  <c r="BB40" i="18"/>
  <c r="BB41" i="18"/>
  <c r="BB42" i="18"/>
  <c r="BB43" i="18"/>
  <c r="BB44" i="18"/>
  <c r="BB45" i="18"/>
  <c r="BB46" i="18"/>
  <c r="BB47" i="18"/>
  <c r="BB48" i="18"/>
  <c r="BB49" i="18"/>
  <c r="BB50" i="18"/>
  <c r="BB51" i="18"/>
  <c r="BB52" i="18"/>
  <c r="BB53" i="18"/>
  <c r="BB54" i="18"/>
  <c r="BB55" i="18"/>
  <c r="BB56" i="18"/>
  <c r="BB57" i="18"/>
  <c r="BB58" i="18"/>
  <c r="BB59" i="18"/>
  <c r="BB60" i="18"/>
  <c r="BB61" i="18"/>
  <c r="BB62" i="18"/>
  <c r="BB63" i="18"/>
  <c r="BB64" i="18"/>
  <c r="BB65" i="18"/>
  <c r="BB66" i="18"/>
  <c r="BB67" i="18"/>
  <c r="BB68" i="18"/>
  <c r="BB69" i="18"/>
  <c r="BB70" i="18"/>
  <c r="BB71" i="18"/>
  <c r="BB72" i="18"/>
  <c r="BB73" i="18"/>
  <c r="BB74" i="18"/>
  <c r="BB75" i="18"/>
  <c r="BB76" i="18"/>
  <c r="BB77" i="18"/>
  <c r="BB78" i="18"/>
  <c r="BB79" i="18"/>
  <c r="BB80" i="18"/>
  <c r="BB81" i="18"/>
  <c r="BB82" i="18"/>
  <c r="BB83" i="18"/>
  <c r="BB84" i="18"/>
  <c r="BB85" i="18"/>
  <c r="BB86" i="18"/>
  <c r="BB87" i="18"/>
  <c r="BB88" i="18"/>
  <c r="BB89" i="18"/>
  <c r="BB90" i="18"/>
  <c r="BB91" i="18"/>
  <c r="BB92" i="18"/>
  <c r="BB93" i="18"/>
  <c r="BB94" i="18"/>
  <c r="BB95" i="18"/>
  <c r="BB96" i="18"/>
  <c r="BB97" i="18"/>
  <c r="BB98" i="18"/>
  <c r="BB99" i="18"/>
  <c r="BB100" i="18"/>
  <c r="BB101" i="18"/>
  <c r="BB102" i="18"/>
  <c r="BB103" i="18"/>
  <c r="BB104" i="18"/>
  <c r="BB105" i="18"/>
  <c r="BB106" i="18"/>
  <c r="BB107" i="18"/>
  <c r="BB108" i="18"/>
  <c r="BB109" i="18"/>
  <c r="BB110" i="18"/>
  <c r="BB111" i="18"/>
  <c r="BB112" i="18"/>
  <c r="BB113" i="18"/>
  <c r="BB114" i="18"/>
  <c r="BB115" i="18"/>
  <c r="BB116" i="18"/>
  <c r="BB117" i="18"/>
  <c r="BB118" i="18"/>
  <c r="BB119" i="18"/>
  <c r="BB120" i="18"/>
  <c r="BB121" i="18"/>
  <c r="BB122" i="18"/>
  <c r="BB123" i="18"/>
  <c r="BB124" i="18"/>
  <c r="BB125" i="18"/>
  <c r="BB126" i="18"/>
  <c r="BB127" i="18"/>
  <c r="BB128" i="18"/>
  <c r="BB129" i="18"/>
  <c r="BB130" i="18"/>
  <c r="BB131" i="18"/>
  <c r="BB132" i="18"/>
  <c r="BB133" i="18"/>
  <c r="BB134" i="18"/>
  <c r="BB135" i="18"/>
  <c r="BB136" i="18"/>
  <c r="BB137" i="18"/>
  <c r="BB138" i="18"/>
  <c r="BB139" i="18"/>
  <c r="BB140" i="18"/>
  <c r="BB141" i="18"/>
  <c r="BB142" i="18"/>
  <c r="BB143" i="18"/>
  <c r="BB144" i="18"/>
  <c r="BB145" i="18"/>
  <c r="BB146" i="18"/>
  <c r="BB147" i="18"/>
  <c r="BB148" i="18"/>
  <c r="BB149" i="18"/>
  <c r="BB150" i="18"/>
  <c r="BB151" i="18"/>
  <c r="BB152" i="18"/>
  <c r="BB153" i="18"/>
  <c r="BB154" i="18"/>
  <c r="BB155" i="18"/>
  <c r="BB156" i="18"/>
  <c r="BB157" i="18"/>
  <c r="BB158" i="18"/>
  <c r="BB159" i="18"/>
  <c r="BB160" i="18"/>
  <c r="BB161" i="18"/>
  <c r="BB162" i="18"/>
  <c r="BB163" i="18"/>
  <c r="BB164" i="18"/>
  <c r="BB165" i="18"/>
  <c r="BB166" i="18"/>
  <c r="BB167" i="18"/>
  <c r="BB168" i="18"/>
  <c r="BB169" i="18"/>
  <c r="BB170" i="18"/>
  <c r="BB171" i="18"/>
  <c r="BB172" i="18"/>
  <c r="BB173" i="18"/>
  <c r="BB174" i="18"/>
  <c r="BB175" i="18"/>
  <c r="BB176" i="18"/>
  <c r="BB177" i="18"/>
  <c r="BB178" i="18"/>
  <c r="BB179" i="18"/>
  <c r="BB180" i="18"/>
  <c r="BB181" i="18"/>
  <c r="BB182" i="18"/>
  <c r="BB183" i="18"/>
  <c r="BB184" i="18"/>
  <c r="BB185" i="18"/>
  <c r="BB186" i="18"/>
  <c r="BB187" i="18"/>
  <c r="BB188" i="18"/>
  <c r="BB189" i="18"/>
  <c r="BB190" i="18"/>
  <c r="BB191" i="18"/>
  <c r="BB192" i="18"/>
  <c r="BB193" i="18"/>
  <c r="BB194" i="18"/>
  <c r="BB195" i="18"/>
  <c r="BB196" i="18"/>
  <c r="BB197" i="18"/>
  <c r="BB198" i="18"/>
  <c r="BB199" i="18"/>
  <c r="BB200" i="18"/>
  <c r="BB201" i="18"/>
  <c r="BB202" i="18"/>
  <c r="BB203" i="18"/>
  <c r="BB204" i="18"/>
  <c r="BB205" i="18"/>
  <c r="BB206" i="18"/>
  <c r="BB207" i="18"/>
  <c r="BB208" i="18"/>
  <c r="BB209" i="18"/>
  <c r="BB210" i="18"/>
  <c r="BB211" i="18"/>
  <c r="BB212" i="18"/>
  <c r="BB213" i="18"/>
  <c r="BB214" i="18"/>
  <c r="BB215" i="18"/>
  <c r="BB216" i="18"/>
  <c r="BB217" i="18"/>
  <c r="BB218" i="18"/>
  <c r="BB219" i="18"/>
  <c r="BB220" i="18"/>
  <c r="BB221" i="18"/>
  <c r="BB222" i="18"/>
  <c r="BB223" i="18"/>
  <c r="BB224" i="18"/>
  <c r="BB225" i="18"/>
  <c r="BB226" i="18"/>
  <c r="BB227" i="18"/>
  <c r="BB228" i="18"/>
  <c r="BB229" i="18"/>
  <c r="BB230" i="18"/>
  <c r="BB231" i="18"/>
  <c r="BB232" i="18"/>
  <c r="BB233" i="18"/>
  <c r="BB234" i="18"/>
  <c r="BB235" i="18"/>
  <c r="BB236" i="18"/>
  <c r="BB237" i="18"/>
  <c r="BB238" i="18"/>
  <c r="BB239" i="18"/>
  <c r="BB240" i="18"/>
  <c r="BB241" i="18"/>
  <c r="BB242" i="18"/>
  <c r="BB243" i="18"/>
  <c r="BB244" i="18"/>
  <c r="BB245" i="18"/>
  <c r="BB246" i="18"/>
  <c r="BB247" i="18"/>
  <c r="BB248" i="18"/>
  <c r="BB249" i="18"/>
  <c r="BB250" i="18"/>
  <c r="BB251" i="18"/>
  <c r="BB252" i="18"/>
  <c r="BB253" i="18"/>
  <c r="BB254" i="18"/>
  <c r="BB255" i="18"/>
  <c r="BB256" i="18"/>
  <c r="BB257" i="18"/>
  <c r="BB258" i="18"/>
  <c r="BB259" i="18"/>
  <c r="BB260" i="18"/>
  <c r="BB261" i="18"/>
  <c r="BB262" i="18"/>
  <c r="BB263" i="18"/>
  <c r="BB264" i="18"/>
  <c r="BB265" i="18"/>
  <c r="BB266" i="18"/>
  <c r="BB267" i="18"/>
  <c r="BB268" i="18"/>
  <c r="BB269" i="18"/>
  <c r="BB270" i="18"/>
  <c r="BB271" i="18"/>
  <c r="BB272" i="18"/>
  <c r="BB273" i="18"/>
  <c r="BB274" i="18"/>
  <c r="BB275" i="18"/>
  <c r="BB276" i="18"/>
  <c r="BB277" i="18"/>
  <c r="BB278" i="18"/>
  <c r="BB279" i="18"/>
  <c r="BB280" i="18"/>
  <c r="BB281" i="18"/>
  <c r="BB282" i="18"/>
  <c r="BB283" i="18"/>
  <c r="BB284" i="18"/>
  <c r="BB285" i="18"/>
  <c r="BB286" i="18"/>
  <c r="BB287" i="18"/>
  <c r="BB288" i="18"/>
  <c r="BB289" i="18"/>
  <c r="BB290" i="18"/>
  <c r="BB291" i="18"/>
  <c r="BB292" i="18"/>
  <c r="BB293" i="18"/>
  <c r="BB294" i="18"/>
  <c r="BB295" i="18"/>
  <c r="BB296" i="18"/>
  <c r="BB297" i="18"/>
  <c r="BB298" i="18"/>
  <c r="BB299" i="18"/>
  <c r="BB300" i="18"/>
  <c r="BB301" i="18"/>
  <c r="BB302" i="18"/>
  <c r="BB303" i="18"/>
  <c r="BB304" i="18"/>
  <c r="BB305" i="18"/>
  <c r="BB306" i="18"/>
  <c r="BB307" i="18"/>
  <c r="BB308" i="18"/>
  <c r="BB309" i="18"/>
  <c r="BB310" i="18"/>
  <c r="BB311" i="18"/>
  <c r="BB312" i="18"/>
  <c r="BB313" i="18"/>
  <c r="BB314" i="18"/>
  <c r="BB315" i="18"/>
  <c r="BB316" i="18"/>
  <c r="BB317" i="18"/>
  <c r="BB318" i="18"/>
  <c r="BB319" i="18"/>
  <c r="BB320" i="18"/>
  <c r="BB321" i="18"/>
  <c r="BB322" i="18"/>
  <c r="BB323" i="18"/>
  <c r="C30" i="6"/>
  <c r="D30" i="6"/>
  <c r="C31" i="6"/>
  <c r="D31" i="6"/>
  <c r="E31" i="6" s="1"/>
  <c r="C32" i="6"/>
  <c r="D32" i="6"/>
  <c r="C33" i="6"/>
  <c r="D33" i="6"/>
  <c r="E33" i="6" s="1"/>
  <c r="C34" i="6"/>
  <c r="D34" i="6"/>
  <c r="E34" i="6" s="1"/>
  <c r="C35" i="6"/>
  <c r="E35" i="6" s="1"/>
  <c r="D35" i="6"/>
  <c r="C36" i="6"/>
  <c r="D36" i="6"/>
  <c r="C37" i="6"/>
  <c r="E37" i="6" s="1"/>
  <c r="D37" i="6"/>
  <c r="C38" i="6"/>
  <c r="D38" i="6"/>
  <c r="E38" i="6" s="1"/>
  <c r="C39" i="6"/>
  <c r="D39" i="6"/>
  <c r="C40" i="6"/>
  <c r="D40" i="6"/>
  <c r="E40" i="6" s="1"/>
  <c r="C41" i="6"/>
  <c r="D41" i="6"/>
  <c r="E41" i="6"/>
  <c r="C42" i="6"/>
  <c r="D42" i="6"/>
  <c r="E42" i="6" s="1"/>
  <c r="C43" i="6"/>
  <c r="D43" i="6"/>
  <c r="C44" i="6"/>
  <c r="D44" i="6"/>
  <c r="C45" i="6"/>
  <c r="D45" i="6"/>
  <c r="D29" i="6"/>
  <c r="C29" i="6"/>
  <c r="G22" i="31"/>
  <c r="G23" i="31"/>
  <c r="G24" i="31"/>
  <c r="G25" i="31"/>
  <c r="G26" i="31"/>
  <c r="G27" i="31"/>
  <c r="G28" i="31"/>
  <c r="G29" i="31"/>
  <c r="G21" i="31"/>
  <c r="C22" i="31"/>
  <c r="D22" i="31"/>
  <c r="C23" i="31"/>
  <c r="D23" i="31"/>
  <c r="C24" i="31"/>
  <c r="D24" i="31"/>
  <c r="C25" i="31"/>
  <c r="D25" i="31"/>
  <c r="C26" i="31"/>
  <c r="D26" i="31"/>
  <c r="C27" i="31"/>
  <c r="D27" i="31"/>
  <c r="C28" i="31"/>
  <c r="D28" i="31"/>
  <c r="C29" i="31"/>
  <c r="D29" i="31"/>
  <c r="D21" i="31"/>
  <c r="C21" i="31"/>
  <c r="H5" i="18"/>
  <c r="H6" i="18"/>
  <c r="H7" i="18"/>
  <c r="H8" i="18"/>
  <c r="H9" i="18"/>
  <c r="H10" i="18"/>
  <c r="H11" i="18"/>
  <c r="H12" i="18"/>
  <c r="H13" i="18"/>
  <c r="H14" i="18"/>
  <c r="H15" i="18"/>
  <c r="H16" i="18"/>
  <c r="H17" i="18"/>
  <c r="H18" i="18"/>
  <c r="H19" i="18"/>
  <c r="H20" i="18"/>
  <c r="H21" i="18"/>
  <c r="H22" i="18"/>
  <c r="H23" i="18"/>
  <c r="H24" i="18"/>
  <c r="H25" i="18"/>
  <c r="H26" i="18"/>
  <c r="H27" i="18"/>
  <c r="H28" i="18"/>
  <c r="H29" i="18"/>
  <c r="H30" i="18"/>
  <c r="H31" i="18"/>
  <c r="H32" i="18"/>
  <c r="H33" i="18"/>
  <c r="H34" i="18"/>
  <c r="H35" i="18"/>
  <c r="H36" i="18"/>
  <c r="H37" i="18"/>
  <c r="H38" i="18"/>
  <c r="H39" i="18"/>
  <c r="H40" i="18"/>
  <c r="H41" i="18"/>
  <c r="H42" i="18"/>
  <c r="H43" i="18"/>
  <c r="H44" i="18"/>
  <c r="H45" i="18"/>
  <c r="H46" i="18"/>
  <c r="H47" i="18"/>
  <c r="H48" i="18"/>
  <c r="H49" i="18"/>
  <c r="H50" i="18"/>
  <c r="H51" i="18"/>
  <c r="H52" i="18"/>
  <c r="H53" i="18"/>
  <c r="H54" i="18"/>
  <c r="H55" i="18"/>
  <c r="H56" i="18"/>
  <c r="H57" i="18"/>
  <c r="H58" i="18"/>
  <c r="H59" i="18"/>
  <c r="H60" i="18"/>
  <c r="H61" i="18"/>
  <c r="H62" i="18"/>
  <c r="H63" i="18"/>
  <c r="H64" i="18"/>
  <c r="H65" i="18"/>
  <c r="H66" i="18"/>
  <c r="H67" i="18"/>
  <c r="H68" i="18"/>
  <c r="H69" i="18"/>
  <c r="H70" i="18"/>
  <c r="H71" i="18"/>
  <c r="H72" i="18"/>
  <c r="H73" i="18"/>
  <c r="H74" i="18"/>
  <c r="H75" i="18"/>
  <c r="H76" i="18"/>
  <c r="H77" i="18"/>
  <c r="H78" i="18"/>
  <c r="H79" i="18"/>
  <c r="H80" i="18"/>
  <c r="H81" i="18"/>
  <c r="H82" i="18"/>
  <c r="H83" i="18"/>
  <c r="H84" i="18"/>
  <c r="H85" i="18"/>
  <c r="H86" i="18"/>
  <c r="H87" i="18"/>
  <c r="H88" i="18"/>
  <c r="H89" i="18"/>
  <c r="H90" i="18"/>
  <c r="H91" i="18"/>
  <c r="H92" i="18"/>
  <c r="H93" i="18"/>
  <c r="H94" i="18"/>
  <c r="H95" i="18"/>
  <c r="H96" i="18"/>
  <c r="H97" i="18"/>
  <c r="H98" i="18"/>
  <c r="H99" i="18"/>
  <c r="H100" i="18"/>
  <c r="H101" i="18"/>
  <c r="H102" i="18"/>
  <c r="H103" i="18"/>
  <c r="H104" i="18"/>
  <c r="H105" i="18"/>
  <c r="H106" i="18"/>
  <c r="H107" i="18"/>
  <c r="H108" i="18"/>
  <c r="H109" i="18"/>
  <c r="H110" i="18"/>
  <c r="H111" i="18"/>
  <c r="H112" i="18"/>
  <c r="H113" i="18"/>
  <c r="H114" i="18"/>
  <c r="H115" i="18"/>
  <c r="H116" i="18"/>
  <c r="H117" i="18"/>
  <c r="H118" i="18"/>
  <c r="H119" i="18"/>
  <c r="H120" i="18"/>
  <c r="H121" i="18"/>
  <c r="H122" i="18"/>
  <c r="H123" i="18"/>
  <c r="H124" i="18"/>
  <c r="H125" i="18"/>
  <c r="H126" i="18"/>
  <c r="H127" i="18"/>
  <c r="H128" i="18"/>
  <c r="H129" i="18"/>
  <c r="H130" i="18"/>
  <c r="H131" i="18"/>
  <c r="H132" i="18"/>
  <c r="H133" i="18"/>
  <c r="H134" i="18"/>
  <c r="H135" i="18"/>
  <c r="H136" i="18"/>
  <c r="H137" i="18"/>
  <c r="H138" i="18"/>
  <c r="H139" i="18"/>
  <c r="H140" i="18"/>
  <c r="H141" i="18"/>
  <c r="H142" i="18"/>
  <c r="H143" i="18"/>
  <c r="H144" i="18"/>
  <c r="H145" i="18"/>
  <c r="H146" i="18"/>
  <c r="H147" i="18"/>
  <c r="H148" i="18"/>
  <c r="H149" i="18"/>
  <c r="H150" i="18"/>
  <c r="H151" i="18"/>
  <c r="H152" i="18"/>
  <c r="H153" i="18"/>
  <c r="H154" i="18"/>
  <c r="H155" i="18"/>
  <c r="H156" i="18"/>
  <c r="H157" i="18"/>
  <c r="H158" i="18"/>
  <c r="H159" i="18"/>
  <c r="H160" i="18"/>
  <c r="H161" i="18"/>
  <c r="H162" i="18"/>
  <c r="H163" i="18"/>
  <c r="H164" i="18"/>
  <c r="H165" i="18"/>
  <c r="H166" i="18"/>
  <c r="H167" i="18"/>
  <c r="H168" i="18"/>
  <c r="H169" i="18"/>
  <c r="H170" i="18"/>
  <c r="H171" i="18"/>
  <c r="H172" i="18"/>
  <c r="H173" i="18"/>
  <c r="H174" i="18"/>
  <c r="H175" i="18"/>
  <c r="H176" i="18"/>
  <c r="H177" i="18"/>
  <c r="H178" i="18"/>
  <c r="H179" i="18"/>
  <c r="H180" i="18"/>
  <c r="H181" i="18"/>
  <c r="H182" i="18"/>
  <c r="H183" i="18"/>
  <c r="H184" i="18"/>
  <c r="H185" i="18"/>
  <c r="H186" i="18"/>
  <c r="H187" i="18"/>
  <c r="H188" i="18"/>
  <c r="H189" i="18"/>
  <c r="H190" i="18"/>
  <c r="H191" i="18"/>
  <c r="H192" i="18"/>
  <c r="H193" i="18"/>
  <c r="H194" i="18"/>
  <c r="H195" i="18"/>
  <c r="H196" i="18"/>
  <c r="H197" i="18"/>
  <c r="H198" i="18"/>
  <c r="H199" i="18"/>
  <c r="H200" i="18"/>
  <c r="H201" i="18"/>
  <c r="H202" i="18"/>
  <c r="H203" i="18"/>
  <c r="H204" i="18"/>
  <c r="H205" i="18"/>
  <c r="H206" i="18"/>
  <c r="H207" i="18"/>
  <c r="H208" i="18"/>
  <c r="H209" i="18"/>
  <c r="H210" i="18"/>
  <c r="H211" i="18"/>
  <c r="H212" i="18"/>
  <c r="H213" i="18"/>
  <c r="H214" i="18"/>
  <c r="H215" i="18"/>
  <c r="H216" i="18"/>
  <c r="H217" i="18"/>
  <c r="H218" i="18"/>
  <c r="H219" i="18"/>
  <c r="H220" i="18"/>
  <c r="H221" i="18"/>
  <c r="H222" i="18"/>
  <c r="H223" i="18"/>
  <c r="H224" i="18"/>
  <c r="H225" i="18"/>
  <c r="H226" i="18"/>
  <c r="H227" i="18"/>
  <c r="H228" i="18"/>
  <c r="H229" i="18"/>
  <c r="H230" i="18"/>
  <c r="H231" i="18"/>
  <c r="H232" i="18"/>
  <c r="H233" i="18"/>
  <c r="H234" i="18"/>
  <c r="H235" i="18"/>
  <c r="H236" i="18"/>
  <c r="H237" i="18"/>
  <c r="H238" i="18"/>
  <c r="H239" i="18"/>
  <c r="H240" i="18"/>
  <c r="H241" i="18"/>
  <c r="H242" i="18"/>
  <c r="H243" i="18"/>
  <c r="H244" i="18"/>
  <c r="H245" i="18"/>
  <c r="H246" i="18"/>
  <c r="H247" i="18"/>
  <c r="H248" i="18"/>
  <c r="H249" i="18"/>
  <c r="H250" i="18"/>
  <c r="H251" i="18"/>
  <c r="H252" i="18"/>
  <c r="H253" i="18"/>
  <c r="H254" i="18"/>
  <c r="H255" i="18"/>
  <c r="H256" i="18"/>
  <c r="H257" i="18"/>
  <c r="H258" i="18"/>
  <c r="H259" i="18"/>
  <c r="H260" i="18"/>
  <c r="H261" i="18"/>
  <c r="H262" i="18"/>
  <c r="H263" i="18"/>
  <c r="H264" i="18"/>
  <c r="H265" i="18"/>
  <c r="H266" i="18"/>
  <c r="H267" i="18"/>
  <c r="H268" i="18"/>
  <c r="H269" i="18"/>
  <c r="H270" i="18"/>
  <c r="H271" i="18"/>
  <c r="H272" i="18"/>
  <c r="H273" i="18"/>
  <c r="H274" i="18"/>
  <c r="H275" i="18"/>
  <c r="H276" i="18"/>
  <c r="H277" i="18"/>
  <c r="H278" i="18"/>
  <c r="H279" i="18"/>
  <c r="H280" i="18"/>
  <c r="H281" i="18"/>
  <c r="H282" i="18"/>
  <c r="H283" i="18"/>
  <c r="H284" i="18"/>
  <c r="H285" i="18"/>
  <c r="H286" i="18"/>
  <c r="H287" i="18"/>
  <c r="H288" i="18"/>
  <c r="H289" i="18"/>
  <c r="H290" i="18"/>
  <c r="H291" i="18"/>
  <c r="H292" i="18"/>
  <c r="H293" i="18"/>
  <c r="H294" i="18"/>
  <c r="H295" i="18"/>
  <c r="H296" i="18"/>
  <c r="H297" i="18"/>
  <c r="H298" i="18"/>
  <c r="H299" i="18"/>
  <c r="H300" i="18"/>
  <c r="H301" i="18"/>
  <c r="H302" i="18"/>
  <c r="H303" i="18"/>
  <c r="H304" i="18"/>
  <c r="H305" i="18"/>
  <c r="H306" i="18"/>
  <c r="H307" i="18"/>
  <c r="H308" i="18"/>
  <c r="H309" i="18"/>
  <c r="H310" i="18"/>
  <c r="H311" i="18"/>
  <c r="H312" i="18"/>
  <c r="H313" i="18"/>
  <c r="H314" i="18"/>
  <c r="H315" i="18"/>
  <c r="H316" i="18"/>
  <c r="H317" i="18"/>
  <c r="H318" i="18"/>
  <c r="H319" i="18"/>
  <c r="H320" i="18"/>
  <c r="H321" i="18"/>
  <c r="H322" i="18"/>
  <c r="H323" i="18"/>
  <c r="H324" i="18"/>
  <c r="H325" i="18"/>
  <c r="H326" i="18"/>
  <c r="H327" i="18"/>
  <c r="H328" i="18"/>
  <c r="H329" i="18"/>
  <c r="H330" i="18"/>
  <c r="H331" i="18"/>
  <c r="H332" i="18"/>
  <c r="H333" i="18"/>
  <c r="H334" i="18"/>
  <c r="H335" i="18"/>
  <c r="H336" i="18"/>
  <c r="H337" i="18"/>
  <c r="H338" i="18"/>
  <c r="H339" i="18"/>
  <c r="H340" i="18"/>
  <c r="H341" i="18"/>
  <c r="H342" i="18"/>
  <c r="H343" i="18"/>
  <c r="H344" i="18"/>
  <c r="H345" i="18"/>
  <c r="H346" i="18"/>
  <c r="H347" i="18"/>
  <c r="H348" i="18"/>
  <c r="H349" i="18"/>
  <c r="H350" i="18"/>
  <c r="H351" i="18"/>
  <c r="H352" i="18"/>
  <c r="H353" i="18"/>
  <c r="H354" i="18"/>
  <c r="H355" i="18"/>
  <c r="H356" i="18"/>
  <c r="H357" i="18"/>
  <c r="H358" i="18"/>
  <c r="H359" i="18"/>
  <c r="H360" i="18"/>
  <c r="H361" i="18"/>
  <c r="H362" i="18"/>
  <c r="H363" i="18"/>
  <c r="H364" i="18"/>
  <c r="H365" i="18"/>
  <c r="H366" i="18"/>
  <c r="H367" i="18"/>
  <c r="H368" i="18"/>
  <c r="H369" i="18"/>
  <c r="H370" i="18"/>
  <c r="H371" i="18"/>
  <c r="H372" i="18"/>
  <c r="H373" i="18"/>
  <c r="H374" i="18"/>
  <c r="H375" i="18"/>
  <c r="H376" i="18"/>
  <c r="H377" i="18"/>
  <c r="H378" i="18"/>
  <c r="H379" i="18"/>
  <c r="H380" i="18"/>
  <c r="H381" i="18"/>
  <c r="H382" i="18"/>
  <c r="H383" i="18"/>
  <c r="H384" i="18"/>
  <c r="H385" i="18"/>
  <c r="H386" i="18"/>
  <c r="H387" i="18"/>
  <c r="H388" i="18"/>
  <c r="H389" i="18"/>
  <c r="H390" i="18"/>
  <c r="H391" i="18"/>
  <c r="H392" i="18"/>
  <c r="H393" i="18"/>
  <c r="H394" i="18"/>
  <c r="H395" i="18"/>
  <c r="H396" i="18"/>
  <c r="H397" i="18"/>
  <c r="H398" i="18"/>
  <c r="H399" i="18"/>
  <c r="H400" i="18"/>
  <c r="H401" i="18"/>
  <c r="H402" i="18"/>
  <c r="H403" i="18"/>
  <c r="H404" i="18"/>
  <c r="H405" i="18"/>
  <c r="H406" i="18"/>
  <c r="H407" i="18"/>
  <c r="H408" i="18"/>
  <c r="H409" i="18"/>
  <c r="H410" i="18"/>
  <c r="H411" i="18"/>
  <c r="H412" i="18"/>
  <c r="H413" i="18"/>
  <c r="H414" i="18"/>
  <c r="H415" i="18"/>
  <c r="H416" i="18"/>
  <c r="H417" i="18"/>
  <c r="H418" i="18"/>
  <c r="H419" i="18"/>
  <c r="H420" i="18"/>
  <c r="H421" i="18"/>
  <c r="H422" i="18"/>
  <c r="H423" i="18"/>
  <c r="H424" i="18"/>
  <c r="H425" i="18"/>
  <c r="H426" i="18"/>
  <c r="H427" i="18"/>
  <c r="H428" i="18"/>
  <c r="H429" i="18"/>
  <c r="H430" i="18"/>
  <c r="H431" i="18"/>
  <c r="H432" i="18"/>
  <c r="H433" i="18"/>
  <c r="H434" i="18"/>
  <c r="H435" i="18"/>
  <c r="H436" i="18"/>
  <c r="H437" i="18"/>
  <c r="H438" i="18"/>
  <c r="H439" i="18"/>
  <c r="H440" i="18"/>
  <c r="H441" i="18"/>
  <c r="H442" i="18"/>
  <c r="H443" i="18"/>
  <c r="H444" i="18"/>
  <c r="H445" i="18"/>
  <c r="H446" i="18"/>
  <c r="H447" i="18"/>
  <c r="H448" i="18"/>
  <c r="H449" i="18"/>
  <c r="H450" i="18"/>
  <c r="H451" i="18"/>
  <c r="H452" i="18"/>
  <c r="H453" i="18"/>
  <c r="H454" i="18"/>
  <c r="H455" i="18"/>
  <c r="H456" i="18"/>
  <c r="H457" i="18"/>
  <c r="H458" i="18"/>
  <c r="H459" i="18"/>
  <c r="H460" i="18"/>
  <c r="H461" i="18"/>
  <c r="H462" i="18"/>
  <c r="H463" i="18"/>
  <c r="H464" i="18"/>
  <c r="H465" i="18"/>
  <c r="H466" i="18"/>
  <c r="H467" i="18"/>
  <c r="H468" i="18"/>
  <c r="H469" i="18"/>
  <c r="H470" i="18"/>
  <c r="H471" i="18"/>
  <c r="H472" i="18"/>
  <c r="H473" i="18"/>
  <c r="H474" i="18"/>
  <c r="H475" i="18"/>
  <c r="H476" i="18"/>
  <c r="H477" i="18"/>
  <c r="H478" i="18"/>
  <c r="H479" i="18"/>
  <c r="H480" i="18"/>
  <c r="H481" i="18"/>
  <c r="H482" i="18"/>
  <c r="H483" i="18"/>
  <c r="H484" i="18"/>
  <c r="H485" i="18"/>
  <c r="H486" i="18"/>
  <c r="H487" i="18"/>
  <c r="H488" i="18"/>
  <c r="H489" i="18"/>
  <c r="H490" i="18"/>
  <c r="H491" i="18"/>
  <c r="H492" i="18"/>
  <c r="H493" i="18"/>
  <c r="H494" i="18"/>
  <c r="H495" i="18"/>
  <c r="H496" i="18"/>
  <c r="H497" i="18"/>
  <c r="H498" i="18"/>
  <c r="H499" i="18"/>
  <c r="H500" i="18"/>
  <c r="H501" i="18"/>
  <c r="H502" i="18"/>
  <c r="H503" i="18"/>
  <c r="H504" i="18"/>
  <c r="H505" i="18"/>
  <c r="H506" i="18"/>
  <c r="H507" i="18"/>
  <c r="H508" i="18"/>
  <c r="H509" i="18"/>
  <c r="H510" i="18"/>
  <c r="H511" i="18"/>
  <c r="H512" i="18"/>
  <c r="H513" i="18"/>
  <c r="H514" i="18"/>
  <c r="H515" i="18"/>
  <c r="H516" i="18"/>
  <c r="H517" i="18"/>
  <c r="H518" i="18"/>
  <c r="H519" i="18"/>
  <c r="H520" i="18"/>
  <c r="H521" i="18"/>
  <c r="H522" i="18"/>
  <c r="H523" i="18"/>
  <c r="H524" i="18"/>
  <c r="H525" i="18"/>
  <c r="H526" i="18"/>
  <c r="H527" i="18"/>
  <c r="H528" i="18"/>
  <c r="H529" i="18"/>
  <c r="H530" i="18"/>
  <c r="H531" i="18"/>
  <c r="H532" i="18"/>
  <c r="H533" i="18"/>
  <c r="H534" i="18"/>
  <c r="H535" i="18"/>
  <c r="H536" i="18"/>
  <c r="H537" i="18"/>
  <c r="G13" i="31"/>
  <c r="D13" i="31"/>
  <c r="C13" i="31"/>
  <c r="G12" i="31"/>
  <c r="D12" i="31"/>
  <c r="C12" i="31"/>
  <c r="G11" i="31"/>
  <c r="D11" i="31"/>
  <c r="C11" i="31"/>
  <c r="G10" i="31"/>
  <c r="D10" i="31"/>
  <c r="C10" i="31"/>
  <c r="G9" i="31"/>
  <c r="D9" i="31"/>
  <c r="C9" i="31"/>
  <c r="G8" i="31"/>
  <c r="D8" i="31"/>
  <c r="C8" i="31"/>
  <c r="G7" i="31"/>
  <c r="D7" i="31"/>
  <c r="C7" i="31"/>
  <c r="G6" i="31"/>
  <c r="D6" i="31"/>
  <c r="C6" i="31"/>
  <c r="G5" i="31"/>
  <c r="D5" i="31"/>
  <c r="C5" i="31"/>
  <c r="Z6" i="21"/>
  <c r="AA6" i="21" s="1"/>
  <c r="B19" i="21"/>
  <c r="C19" i="21" s="1"/>
  <c r="L19" i="21" s="1"/>
  <c r="D19" i="21"/>
  <c r="E19" i="21" s="1"/>
  <c r="P19" i="21" s="1"/>
  <c r="B20" i="21"/>
  <c r="C20" i="21" s="1"/>
  <c r="L20" i="21" s="1"/>
  <c r="G26" i="26" s="1"/>
  <c r="D20" i="21"/>
  <c r="E20" i="21" s="1"/>
  <c r="P20" i="21" s="1"/>
  <c r="K26" i="26" s="1"/>
  <c r="B21" i="21"/>
  <c r="C21" i="21" s="1"/>
  <c r="L21" i="21" s="1"/>
  <c r="G21" i="26" s="1"/>
  <c r="D21" i="21"/>
  <c r="E21" i="21" s="1"/>
  <c r="P21" i="21" s="1"/>
  <c r="K21" i="26" s="1"/>
  <c r="B22" i="21"/>
  <c r="C22" i="21" s="1"/>
  <c r="L22" i="21" s="1"/>
  <c r="G20" i="25" s="1"/>
  <c r="D22" i="21"/>
  <c r="E22" i="21" s="1"/>
  <c r="P22" i="21" s="1"/>
  <c r="B23" i="21"/>
  <c r="C23" i="21" s="1"/>
  <c r="D23" i="21"/>
  <c r="E23" i="21" s="1"/>
  <c r="P23" i="21" s="1"/>
  <c r="B24" i="21"/>
  <c r="C24" i="21" s="1"/>
  <c r="D24" i="21"/>
  <c r="E24" i="21" s="1"/>
  <c r="P24" i="21" s="1"/>
  <c r="B25" i="21"/>
  <c r="C25" i="21" s="1"/>
  <c r="L25" i="21" s="1"/>
  <c r="D25" i="21"/>
  <c r="E25" i="21" s="1"/>
  <c r="P25" i="21" s="1"/>
  <c r="B26" i="21"/>
  <c r="C26" i="21" s="1"/>
  <c r="D26" i="21"/>
  <c r="E26" i="21" s="1"/>
  <c r="P26" i="21" s="1"/>
  <c r="B27" i="21"/>
  <c r="C27" i="21" s="1"/>
  <c r="L27" i="21" s="1"/>
  <c r="D27" i="21"/>
  <c r="E27" i="21" s="1"/>
  <c r="P27" i="21" s="1"/>
  <c r="B28" i="21"/>
  <c r="C28" i="21" s="1"/>
  <c r="L28" i="21" s="1"/>
  <c r="G23" i="25" s="1"/>
  <c r="D28" i="21"/>
  <c r="E28" i="21" s="1"/>
  <c r="P28" i="21" s="1"/>
  <c r="K23" i="25" s="1"/>
  <c r="B29" i="21"/>
  <c r="C29" i="21" s="1"/>
  <c r="L29" i="21" s="1"/>
  <c r="D29" i="21"/>
  <c r="E29" i="21" s="1"/>
  <c r="P29" i="21" s="1"/>
  <c r="B30" i="21"/>
  <c r="C30" i="21" s="1"/>
  <c r="D30" i="21"/>
  <c r="E30" i="21" s="1"/>
  <c r="P30" i="21" s="1"/>
  <c r="B31" i="21"/>
  <c r="C31" i="21" s="1"/>
  <c r="L31" i="21" s="1"/>
  <c r="G19" i="26" s="1"/>
  <c r="D31" i="21"/>
  <c r="E31" i="21" s="1"/>
  <c r="P31" i="21" s="1"/>
  <c r="K19" i="26" s="1"/>
  <c r="B32" i="21"/>
  <c r="C32" i="21" s="1"/>
  <c r="L32" i="21" s="1"/>
  <c r="D32" i="21"/>
  <c r="E32" i="21" s="1"/>
  <c r="P32" i="21" s="1"/>
  <c r="B33" i="21"/>
  <c r="C33" i="21" s="1"/>
  <c r="D33" i="21"/>
  <c r="E33" i="21" s="1"/>
  <c r="P33" i="21" s="1"/>
  <c r="B34" i="21"/>
  <c r="C34" i="21" s="1"/>
  <c r="L34" i="21" s="1"/>
  <c r="G27" i="25" s="1"/>
  <c r="D34" i="21"/>
  <c r="E34" i="21" s="1"/>
  <c r="P34" i="21" s="1"/>
  <c r="K27" i="25" s="1"/>
  <c r="B35" i="21"/>
  <c r="C35" i="21" s="1"/>
  <c r="L35" i="21" s="1"/>
  <c r="G20" i="27" s="1"/>
  <c r="D35" i="21"/>
  <c r="E35" i="21" s="1"/>
  <c r="P35" i="21" s="1"/>
  <c r="K20" i="27" s="1"/>
  <c r="B36" i="21"/>
  <c r="C36" i="21" s="1"/>
  <c r="L36" i="21" s="1"/>
  <c r="D36" i="21"/>
  <c r="E36" i="21" s="1"/>
  <c r="P36" i="21" s="1"/>
  <c r="B37" i="21"/>
  <c r="C37" i="21" s="1"/>
  <c r="L37" i="21" s="1"/>
  <c r="D37" i="21"/>
  <c r="E37" i="21" s="1"/>
  <c r="P37" i="21" s="1"/>
  <c r="K22" i="26" s="1"/>
  <c r="B38" i="21"/>
  <c r="C38" i="21" s="1"/>
  <c r="L38" i="21" s="1"/>
  <c r="G29" i="26" s="1"/>
  <c r="D38" i="21"/>
  <c r="E38" i="21" s="1"/>
  <c r="P38" i="21" s="1"/>
  <c r="B39" i="21"/>
  <c r="C39" i="21" s="1"/>
  <c r="L39" i="21" s="1"/>
  <c r="D39" i="21"/>
  <c r="E39" i="21" s="1"/>
  <c r="P39" i="21" s="1"/>
  <c r="B40" i="21"/>
  <c r="C40" i="21" s="1"/>
  <c r="M40" i="21" s="1"/>
  <c r="H21" i="27" s="1"/>
  <c r="D40" i="21"/>
  <c r="E40" i="21" s="1"/>
  <c r="P40" i="21" s="1"/>
  <c r="K21" i="27" s="1"/>
  <c r="B41" i="21"/>
  <c r="C41" i="21" s="1"/>
  <c r="D41" i="21"/>
  <c r="E41" i="21" s="1"/>
  <c r="P41" i="21" s="1"/>
  <c r="B42" i="21"/>
  <c r="C42" i="21" s="1"/>
  <c r="L42" i="21" s="1"/>
  <c r="G24" i="26" s="1"/>
  <c r="D42" i="21"/>
  <c r="E42" i="21" s="1"/>
  <c r="P42" i="21" s="1"/>
  <c r="B43" i="21"/>
  <c r="C43" i="21" s="1"/>
  <c r="L43" i="21" s="1"/>
  <c r="G29" i="25" s="1"/>
  <c r="D43" i="21"/>
  <c r="E43" i="21" s="1"/>
  <c r="P43" i="21" s="1"/>
  <c r="B44" i="21"/>
  <c r="C44" i="21" s="1"/>
  <c r="L44" i="21" s="1"/>
  <c r="G25" i="26" s="1"/>
  <c r="D44" i="21"/>
  <c r="E44" i="21" s="1"/>
  <c r="P44" i="21" s="1"/>
  <c r="K25" i="26" s="1"/>
  <c r="B45" i="21"/>
  <c r="C45" i="21"/>
  <c r="L45" i="21" s="1"/>
  <c r="G30" i="25" s="1"/>
  <c r="D45" i="21"/>
  <c r="E45" i="21" s="1"/>
  <c r="P45" i="21" s="1"/>
  <c r="K30" i="25" s="1"/>
  <c r="B46" i="21"/>
  <c r="C46" i="21" s="1"/>
  <c r="L46" i="21" s="1"/>
  <c r="G22" i="27" s="1"/>
  <c r="D46" i="21"/>
  <c r="E46" i="21" s="1"/>
  <c r="P46" i="21" s="1"/>
  <c r="K22" i="27" s="1"/>
  <c r="B47" i="21"/>
  <c r="C47" i="21" s="1"/>
  <c r="L47" i="21" s="1"/>
  <c r="D47" i="21"/>
  <c r="E47" i="21" s="1"/>
  <c r="P47" i="21" s="1"/>
  <c r="B48" i="21"/>
  <c r="C48" i="21" s="1"/>
  <c r="L48" i="21" s="1"/>
  <c r="D48" i="21"/>
  <c r="E48" i="21" s="1"/>
  <c r="P48" i="21" s="1"/>
  <c r="K30" i="26" s="1"/>
  <c r="B49" i="21"/>
  <c r="C49" i="21" s="1"/>
  <c r="L49" i="21" s="1"/>
  <c r="D49" i="21"/>
  <c r="E49" i="21" s="1"/>
  <c r="P49" i="21" s="1"/>
  <c r="D18" i="21"/>
  <c r="E18" i="21" s="1"/>
  <c r="P18" i="21" s="1"/>
  <c r="B18" i="21"/>
  <c r="C18" i="21" s="1"/>
  <c r="M18" i="21" s="1"/>
  <c r="AU138" i="18"/>
  <c r="AN727" i="18"/>
  <c r="AN728" i="18"/>
  <c r="AN729" i="18"/>
  <c r="AN730" i="18"/>
  <c r="AN731" i="18"/>
  <c r="AN732" i="18"/>
  <c r="AN733" i="18"/>
  <c r="AN734" i="18"/>
  <c r="AN735" i="18"/>
  <c r="AN736" i="18"/>
  <c r="AN737" i="18"/>
  <c r="AN738" i="18"/>
  <c r="AN739" i="18"/>
  <c r="AN740" i="18"/>
  <c r="AN741" i="18"/>
  <c r="AN742" i="18"/>
  <c r="AN743" i="18"/>
  <c r="AN744" i="18"/>
  <c r="AN745" i="18"/>
  <c r="AN746" i="18"/>
  <c r="AB863" i="18"/>
  <c r="I537" i="18"/>
  <c r="E31" i="32" l="1"/>
  <c r="E27" i="32"/>
  <c r="E22" i="32"/>
  <c r="E24" i="32"/>
  <c r="E5" i="32"/>
  <c r="E25" i="32"/>
  <c r="E30" i="32"/>
  <c r="E26" i="32"/>
  <c r="E29" i="32"/>
  <c r="E14" i="32"/>
  <c r="F14" i="32" s="1"/>
  <c r="E23" i="32"/>
  <c r="F23" i="32" s="1"/>
  <c r="E12" i="32"/>
  <c r="E8" i="32"/>
  <c r="E13" i="32"/>
  <c r="E9" i="32"/>
  <c r="E11" i="32"/>
  <c r="E7" i="32"/>
  <c r="E6" i="32"/>
  <c r="E44" i="6"/>
  <c r="E26" i="31"/>
  <c r="H26" i="31" s="1"/>
  <c r="E43" i="6"/>
  <c r="E32" i="6"/>
  <c r="E36" i="6"/>
  <c r="E29" i="6"/>
  <c r="E45" i="6"/>
  <c r="F29" i="6"/>
  <c r="F31" i="6"/>
  <c r="F37" i="6"/>
  <c r="F41" i="6"/>
  <c r="F38" i="6"/>
  <c r="F35" i="6"/>
  <c r="F42" i="6"/>
  <c r="E30" i="6"/>
  <c r="F44" i="6" s="1"/>
  <c r="E39" i="6"/>
  <c r="F39" i="6" s="1"/>
  <c r="E25" i="31"/>
  <c r="E24" i="31"/>
  <c r="H24" i="31" s="1"/>
  <c r="F21" i="31"/>
  <c r="E29" i="31"/>
  <c r="F22" i="31"/>
  <c r="F27" i="31"/>
  <c r="F26" i="31"/>
  <c r="F25" i="31"/>
  <c r="F28" i="31"/>
  <c r="E23" i="31"/>
  <c r="I23" i="31" s="1"/>
  <c r="F29" i="31"/>
  <c r="F24" i="31"/>
  <c r="F23" i="31"/>
  <c r="E28" i="31"/>
  <c r="E22" i="31"/>
  <c r="E21" i="31"/>
  <c r="E27" i="31"/>
  <c r="H25" i="31"/>
  <c r="H21" i="31"/>
  <c r="F7" i="31"/>
  <c r="F11" i="31"/>
  <c r="F8" i="31"/>
  <c r="F12" i="31"/>
  <c r="M25" i="21"/>
  <c r="E13" i="31"/>
  <c r="H13" i="31" s="1"/>
  <c r="L24" i="21"/>
  <c r="M24" i="21"/>
  <c r="M35" i="21"/>
  <c r="H20" i="27" s="1"/>
  <c r="M34" i="21"/>
  <c r="H27" i="25" s="1"/>
  <c r="E6" i="31"/>
  <c r="H6" i="31" s="1"/>
  <c r="E10" i="31"/>
  <c r="H10" i="31" s="1"/>
  <c r="M49" i="21"/>
  <c r="M31" i="21"/>
  <c r="H33" i="25" s="1"/>
  <c r="AJ33" i="25" s="1"/>
  <c r="E11" i="31"/>
  <c r="M46" i="21"/>
  <c r="H22" i="27" s="1"/>
  <c r="M43" i="21"/>
  <c r="H29" i="25" s="1"/>
  <c r="M42" i="21"/>
  <c r="H24" i="26" s="1"/>
  <c r="AJ24" i="26" s="1"/>
  <c r="M19" i="21"/>
  <c r="Y6" i="21"/>
  <c r="T6" i="27" s="1"/>
  <c r="F5" i="31"/>
  <c r="F9" i="31"/>
  <c r="M37" i="21"/>
  <c r="E5" i="31"/>
  <c r="H5" i="31" s="1"/>
  <c r="F6" i="31"/>
  <c r="F10" i="31"/>
  <c r="E9" i="31"/>
  <c r="H9" i="31" s="1"/>
  <c r="E7" i="31"/>
  <c r="H7" i="31" s="1"/>
  <c r="E8" i="31"/>
  <c r="E12" i="31"/>
  <c r="H12" i="31" s="1"/>
  <c r="F13" i="31"/>
  <c r="L30" i="21"/>
  <c r="M30" i="21"/>
  <c r="L33" i="21"/>
  <c r="M33" i="21"/>
  <c r="L23" i="21"/>
  <c r="G18" i="26" s="1"/>
  <c r="AI18" i="26" s="1"/>
  <c r="M23" i="21"/>
  <c r="H32" i="25" s="1"/>
  <c r="AJ32" i="25" s="1"/>
  <c r="L41" i="21"/>
  <c r="G23" i="26" s="1"/>
  <c r="M41" i="21"/>
  <c r="H23" i="26" s="1"/>
  <c r="AJ23" i="26" s="1"/>
  <c r="L26" i="21"/>
  <c r="G19" i="27" s="1"/>
  <c r="M26" i="21"/>
  <c r="H19" i="27" s="1"/>
  <c r="M45" i="21"/>
  <c r="H30" i="25" s="1"/>
  <c r="M39" i="21"/>
  <c r="M27" i="21"/>
  <c r="M21" i="21"/>
  <c r="H21" i="26" s="1"/>
  <c r="M36" i="21"/>
  <c r="M28" i="21"/>
  <c r="H23" i="25" s="1"/>
  <c r="AJ23" i="25" s="1"/>
  <c r="M22" i="21"/>
  <c r="H20" i="25" s="1"/>
  <c r="AJ20" i="25" s="1"/>
  <c r="L40" i="21"/>
  <c r="G21" i="27" s="1"/>
  <c r="L18" i="21"/>
  <c r="M44" i="21"/>
  <c r="H25" i="26" s="1"/>
  <c r="M38" i="21"/>
  <c r="H29" i="26" s="1"/>
  <c r="AJ29" i="26" s="1"/>
  <c r="M32" i="21"/>
  <c r="M20" i="21"/>
  <c r="H26" i="26" s="1"/>
  <c r="M48" i="21"/>
  <c r="M47" i="21"/>
  <c r="M29" i="21"/>
  <c r="G33" i="25"/>
  <c r="AI33" i="25" s="1"/>
  <c r="K33" i="25"/>
  <c r="G13" i="30"/>
  <c r="G12" i="30"/>
  <c r="G11" i="30"/>
  <c r="G10" i="30"/>
  <c r="G9" i="30"/>
  <c r="G8" i="30"/>
  <c r="G7" i="30"/>
  <c r="G6" i="30"/>
  <c r="G5" i="30"/>
  <c r="G13" i="29"/>
  <c r="G12" i="29"/>
  <c r="G11" i="29"/>
  <c r="G10" i="29"/>
  <c r="G9" i="29"/>
  <c r="G8" i="29"/>
  <c r="G7" i="29"/>
  <c r="G6" i="29"/>
  <c r="G5" i="29"/>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67" i="3"/>
  <c r="AE68" i="3"/>
  <c r="AE69" i="3"/>
  <c r="AE70" i="3"/>
  <c r="AE71" i="3"/>
  <c r="AE72" i="3"/>
  <c r="AE73" i="3"/>
  <c r="AE74" i="3"/>
  <c r="AE75" i="3"/>
  <c r="AE76" i="3"/>
  <c r="AE77" i="3"/>
  <c r="AE78" i="3"/>
  <c r="AE79" i="3"/>
  <c r="AE80" i="3"/>
  <c r="AE81" i="3"/>
  <c r="AE82" i="3"/>
  <c r="AE83" i="3"/>
  <c r="AE84" i="3"/>
  <c r="AE85" i="3"/>
  <c r="AE86" i="3"/>
  <c r="AE87" i="3"/>
  <c r="AE88" i="3"/>
  <c r="AE89" i="3"/>
  <c r="AE90" i="3"/>
  <c r="AE91" i="3"/>
  <c r="AE92" i="3"/>
  <c r="AE93" i="3"/>
  <c r="AE94" i="3"/>
  <c r="AE95" i="3"/>
  <c r="AE96" i="3"/>
  <c r="AE97" i="3"/>
  <c r="AE98" i="3"/>
  <c r="AE99" i="3"/>
  <c r="AE100" i="3"/>
  <c r="AE101" i="3"/>
  <c r="AE102" i="3"/>
  <c r="AE103" i="3"/>
  <c r="AE104" i="3"/>
  <c r="AE105" i="3"/>
  <c r="AE106" i="3"/>
  <c r="AE107" i="3"/>
  <c r="AE108" i="3"/>
  <c r="AE109" i="3"/>
  <c r="AE110" i="3"/>
  <c r="AE111" i="3"/>
  <c r="AE112" i="3"/>
  <c r="AE113" i="3"/>
  <c r="AE114" i="3"/>
  <c r="AE115" i="3"/>
  <c r="AE116" i="3"/>
  <c r="AE117" i="3"/>
  <c r="AE118" i="3"/>
  <c r="AE119" i="3"/>
  <c r="AE120" i="3"/>
  <c r="AE121" i="3"/>
  <c r="AE122" i="3"/>
  <c r="AE123" i="3"/>
  <c r="AE124" i="3"/>
  <c r="AE125" i="3"/>
  <c r="AE126" i="3"/>
  <c r="AE127" i="3"/>
  <c r="AE128" i="3"/>
  <c r="AE129" i="3"/>
  <c r="AE130" i="3"/>
  <c r="AE131" i="3"/>
  <c r="AE132" i="3"/>
  <c r="AE133" i="3"/>
  <c r="AE134" i="3"/>
  <c r="AE135" i="3"/>
  <c r="AE136" i="3"/>
  <c r="AE137" i="3"/>
  <c r="AE138" i="3"/>
  <c r="AE139" i="3"/>
  <c r="AE140" i="3"/>
  <c r="AE141" i="3"/>
  <c r="AE142" i="3"/>
  <c r="AE143" i="3"/>
  <c r="AE144" i="3"/>
  <c r="AE145" i="3"/>
  <c r="AE146" i="3"/>
  <c r="AE147" i="3"/>
  <c r="AE148" i="3"/>
  <c r="AE149" i="3"/>
  <c r="AE150" i="3"/>
  <c r="AE151" i="3"/>
  <c r="AE152" i="3"/>
  <c r="AE153" i="3"/>
  <c r="AE154" i="3"/>
  <c r="AE155" i="3"/>
  <c r="AE156" i="3"/>
  <c r="AE157" i="3"/>
  <c r="AE158" i="3"/>
  <c r="AE159" i="3"/>
  <c r="AE160" i="3"/>
  <c r="AE161" i="3"/>
  <c r="AE162" i="3"/>
  <c r="AE163" i="3"/>
  <c r="AE164" i="3"/>
  <c r="AE165" i="3"/>
  <c r="AE166" i="3"/>
  <c r="AE167" i="3"/>
  <c r="AE168" i="3"/>
  <c r="AE169" i="3"/>
  <c r="AE170" i="3"/>
  <c r="AE171" i="3"/>
  <c r="AE172" i="3"/>
  <c r="AE173" i="3"/>
  <c r="AE174" i="3"/>
  <c r="AE175" i="3"/>
  <c r="AE176" i="3"/>
  <c r="AE177" i="3"/>
  <c r="AE178" i="3"/>
  <c r="AE179" i="3"/>
  <c r="AE180" i="3"/>
  <c r="AE181" i="3"/>
  <c r="AE182" i="3"/>
  <c r="AE183" i="3"/>
  <c r="AE184" i="3"/>
  <c r="AE185" i="3"/>
  <c r="AE186" i="3"/>
  <c r="AE187" i="3"/>
  <c r="AE188" i="3"/>
  <c r="AE189" i="3"/>
  <c r="AE190" i="3"/>
  <c r="AE191" i="3"/>
  <c r="AE192" i="3"/>
  <c r="AE193" i="3"/>
  <c r="AE194" i="3"/>
  <c r="AE195" i="3"/>
  <c r="AE196" i="3"/>
  <c r="AE197" i="3"/>
  <c r="AE198" i="3"/>
  <c r="AE199" i="3"/>
  <c r="AE200" i="3"/>
  <c r="AE201" i="3"/>
  <c r="AE202" i="3"/>
  <c r="AE203" i="3"/>
  <c r="AE204" i="3"/>
  <c r="AE205" i="3"/>
  <c r="AE206" i="3"/>
  <c r="AE207" i="3"/>
  <c r="AE208" i="3"/>
  <c r="AE209" i="3"/>
  <c r="AE210" i="3"/>
  <c r="AE211" i="3"/>
  <c r="AE212" i="3"/>
  <c r="AE213" i="3"/>
  <c r="AE214" i="3"/>
  <c r="AE215" i="3"/>
  <c r="AE216" i="3"/>
  <c r="AE217" i="3"/>
  <c r="AE218" i="3"/>
  <c r="AE219" i="3"/>
  <c r="AE220" i="3"/>
  <c r="AE221" i="3"/>
  <c r="AE222" i="3"/>
  <c r="AE223" i="3"/>
  <c r="AE224" i="3"/>
  <c r="AE225" i="3"/>
  <c r="AE226" i="3"/>
  <c r="AE227" i="3"/>
  <c r="AE228" i="3"/>
  <c r="AE229" i="3"/>
  <c r="AE230" i="3"/>
  <c r="AE231" i="3"/>
  <c r="AE232" i="3"/>
  <c r="AE233" i="3"/>
  <c r="AE234" i="3"/>
  <c r="AE235" i="3"/>
  <c r="AE236" i="3"/>
  <c r="AE237" i="3"/>
  <c r="AE238" i="3"/>
  <c r="AE239" i="3"/>
  <c r="AE240" i="3"/>
  <c r="AE241" i="3"/>
  <c r="AE242" i="3"/>
  <c r="AE243" i="3"/>
  <c r="AE244" i="3"/>
  <c r="AE245" i="3"/>
  <c r="AE246" i="3"/>
  <c r="AE247" i="3"/>
  <c r="AE248" i="3"/>
  <c r="AE249" i="3"/>
  <c r="AE250" i="3"/>
  <c r="AE251" i="3"/>
  <c r="AE252" i="3"/>
  <c r="AE253" i="3"/>
  <c r="AE254" i="3"/>
  <c r="AE255" i="3"/>
  <c r="AE256" i="3"/>
  <c r="AE257" i="3"/>
  <c r="AE258" i="3"/>
  <c r="AE259" i="3"/>
  <c r="AE260" i="3"/>
  <c r="AE261" i="3"/>
  <c r="AE262" i="3"/>
  <c r="AE263" i="3"/>
  <c r="AE264" i="3"/>
  <c r="AE265" i="3"/>
  <c r="AE266" i="3"/>
  <c r="AE267" i="3"/>
  <c r="AE268" i="3"/>
  <c r="AE269" i="3"/>
  <c r="AE270" i="3"/>
  <c r="AE271" i="3"/>
  <c r="AE272" i="3"/>
  <c r="AE273" i="3"/>
  <c r="AE274" i="3"/>
  <c r="AE275" i="3"/>
  <c r="AE276" i="3"/>
  <c r="AE277" i="3"/>
  <c r="AE278" i="3"/>
  <c r="AE279" i="3"/>
  <c r="AE280" i="3"/>
  <c r="AE281" i="3"/>
  <c r="AE282" i="3"/>
  <c r="AE283" i="3"/>
  <c r="AE284" i="3"/>
  <c r="AE285" i="3"/>
  <c r="AE286" i="3"/>
  <c r="AE287" i="3"/>
  <c r="AE288" i="3"/>
  <c r="AE289" i="3"/>
  <c r="AE290" i="3"/>
  <c r="AE291" i="3"/>
  <c r="AE292" i="3"/>
  <c r="AE293" i="3"/>
  <c r="AE294" i="3"/>
  <c r="AE295" i="3"/>
  <c r="AE296" i="3"/>
  <c r="AE297" i="3"/>
  <c r="AE298" i="3"/>
  <c r="AE299" i="3"/>
  <c r="AE300" i="3"/>
  <c r="AE301" i="3"/>
  <c r="AE302" i="3"/>
  <c r="AE303" i="3"/>
  <c r="AE304" i="3"/>
  <c r="AE305" i="3"/>
  <c r="AE306" i="3"/>
  <c r="AE307" i="3"/>
  <c r="AE308" i="3"/>
  <c r="AE309" i="3"/>
  <c r="AE310" i="3"/>
  <c r="AE311" i="3"/>
  <c r="AE312" i="3"/>
  <c r="AE313" i="3"/>
  <c r="AE314" i="3"/>
  <c r="AE315" i="3"/>
  <c r="AE316" i="3"/>
  <c r="AE317" i="3"/>
  <c r="AE318" i="3"/>
  <c r="AE319" i="3"/>
  <c r="AE320" i="3"/>
  <c r="AE321" i="3"/>
  <c r="AE322" i="3"/>
  <c r="AE323" i="3"/>
  <c r="AE324" i="3"/>
  <c r="AE325" i="3"/>
  <c r="AE326" i="3"/>
  <c r="AE327" i="3"/>
  <c r="AE328" i="3"/>
  <c r="AE329" i="3"/>
  <c r="AE330" i="3"/>
  <c r="AE331" i="3"/>
  <c r="AE332" i="3"/>
  <c r="AE333" i="3"/>
  <c r="AE334" i="3"/>
  <c r="AE335" i="3"/>
  <c r="AE336" i="3"/>
  <c r="AE337" i="3"/>
  <c r="AE338" i="3"/>
  <c r="AE339" i="3"/>
  <c r="AE340" i="3"/>
  <c r="AE341" i="3"/>
  <c r="AE342" i="3"/>
  <c r="AE343" i="3"/>
  <c r="AE344" i="3"/>
  <c r="AE345" i="3"/>
  <c r="AE346" i="3"/>
  <c r="AE347" i="3"/>
  <c r="AE348" i="3"/>
  <c r="AE349" i="3"/>
  <c r="AE350" i="3"/>
  <c r="AE351" i="3"/>
  <c r="AE352" i="3"/>
  <c r="AE353" i="3"/>
  <c r="AE354" i="3"/>
  <c r="AE355" i="3"/>
  <c r="AE356" i="3"/>
  <c r="AE357" i="3"/>
  <c r="AE358" i="3"/>
  <c r="AE359" i="3"/>
  <c r="AE360" i="3"/>
  <c r="AE361" i="3"/>
  <c r="AE362" i="3"/>
  <c r="AE363" i="3"/>
  <c r="AE364" i="3"/>
  <c r="AE365" i="3"/>
  <c r="AE366" i="3"/>
  <c r="AE367" i="3"/>
  <c r="AE368" i="3"/>
  <c r="AE369" i="3"/>
  <c r="AE370" i="3"/>
  <c r="AE371" i="3"/>
  <c r="AE372" i="3"/>
  <c r="AE373" i="3"/>
  <c r="AE374" i="3"/>
  <c r="AE375" i="3"/>
  <c r="AE376" i="3"/>
  <c r="AE377" i="3"/>
  <c r="AE378" i="3"/>
  <c r="AE379" i="3"/>
  <c r="AE380" i="3"/>
  <c r="AE381" i="3"/>
  <c r="AE382" i="3"/>
  <c r="AE383" i="3"/>
  <c r="AE384" i="3"/>
  <c r="AE385" i="3"/>
  <c r="AE386" i="3"/>
  <c r="AE387" i="3"/>
  <c r="AE388" i="3"/>
  <c r="AE389" i="3"/>
  <c r="AE390" i="3"/>
  <c r="AE391" i="3"/>
  <c r="AE392" i="3"/>
  <c r="AE393" i="3"/>
  <c r="AE394" i="3"/>
  <c r="AE395" i="3"/>
  <c r="AE396" i="3"/>
  <c r="AE397" i="3"/>
  <c r="AE398" i="3"/>
  <c r="AE399" i="3"/>
  <c r="AE400" i="3"/>
  <c r="AE401" i="3"/>
  <c r="AE402" i="3"/>
  <c r="AE403" i="3"/>
  <c r="AE404" i="3"/>
  <c r="AE405" i="3"/>
  <c r="AE406" i="3"/>
  <c r="AE407" i="3"/>
  <c r="AE408" i="3"/>
  <c r="AE409" i="3"/>
  <c r="AE410" i="3"/>
  <c r="AE411" i="3"/>
  <c r="AE412" i="3"/>
  <c r="AE413" i="3"/>
  <c r="AE414" i="3"/>
  <c r="AE415" i="3"/>
  <c r="AE416" i="3"/>
  <c r="AE417" i="3"/>
  <c r="AE418" i="3"/>
  <c r="AE419" i="3"/>
  <c r="AE420" i="3"/>
  <c r="AE421" i="3"/>
  <c r="AE422" i="3"/>
  <c r="AE423" i="3"/>
  <c r="AE424" i="3"/>
  <c r="AE425" i="3"/>
  <c r="AE426" i="3"/>
  <c r="AE427" i="3"/>
  <c r="AE428" i="3"/>
  <c r="AE429" i="3"/>
  <c r="AE430" i="3"/>
  <c r="AE431" i="3"/>
  <c r="AE432" i="3"/>
  <c r="AE433" i="3"/>
  <c r="AE434" i="3"/>
  <c r="AE435" i="3"/>
  <c r="AE436" i="3"/>
  <c r="AE437" i="3"/>
  <c r="AE438" i="3"/>
  <c r="AE439" i="3"/>
  <c r="AE440" i="3"/>
  <c r="AE441" i="3"/>
  <c r="AE442" i="3"/>
  <c r="AE443" i="3"/>
  <c r="AE444" i="3"/>
  <c r="AE445" i="3"/>
  <c r="AE446" i="3"/>
  <c r="AE447" i="3"/>
  <c r="AE448" i="3"/>
  <c r="AE449" i="3"/>
  <c r="AE450" i="3"/>
  <c r="AE451" i="3"/>
  <c r="AE452" i="3"/>
  <c r="AE453" i="3"/>
  <c r="AE454" i="3"/>
  <c r="AE455" i="3"/>
  <c r="AE456" i="3"/>
  <c r="AE457" i="3"/>
  <c r="AE458" i="3"/>
  <c r="AE459" i="3"/>
  <c r="AE460" i="3"/>
  <c r="AE461" i="3"/>
  <c r="AE462" i="3"/>
  <c r="AE463" i="3"/>
  <c r="AE464" i="3"/>
  <c r="AE465" i="3"/>
  <c r="AE466" i="3"/>
  <c r="AE467" i="3"/>
  <c r="AE468" i="3"/>
  <c r="AE469" i="3"/>
  <c r="AE470" i="3"/>
  <c r="AE471" i="3"/>
  <c r="AE472" i="3"/>
  <c r="AE473" i="3"/>
  <c r="AE474" i="3"/>
  <c r="AE475" i="3"/>
  <c r="AE476" i="3"/>
  <c r="AE477" i="3"/>
  <c r="AE478" i="3"/>
  <c r="AE479" i="3"/>
  <c r="AE480" i="3"/>
  <c r="AE481" i="3"/>
  <c r="AE482" i="3"/>
  <c r="AE483" i="3"/>
  <c r="AE484" i="3"/>
  <c r="AE485" i="3"/>
  <c r="AE486" i="3"/>
  <c r="AE487" i="3"/>
  <c r="AE488" i="3"/>
  <c r="AE489" i="3"/>
  <c r="AE490" i="3"/>
  <c r="AE491" i="3"/>
  <c r="AE492" i="3"/>
  <c r="AE493" i="3"/>
  <c r="AE494" i="3"/>
  <c r="AE495" i="3"/>
  <c r="AE496" i="3"/>
  <c r="AE497" i="3"/>
  <c r="AE498" i="3"/>
  <c r="AE499" i="3"/>
  <c r="AE500" i="3"/>
  <c r="AE501" i="3"/>
  <c r="AE502" i="3"/>
  <c r="AE503" i="3"/>
  <c r="AE504" i="3"/>
  <c r="AE505" i="3"/>
  <c r="AE506" i="3"/>
  <c r="AE507" i="3"/>
  <c r="AE508" i="3"/>
  <c r="AE509" i="3"/>
  <c r="AE510" i="3"/>
  <c r="AE511" i="3"/>
  <c r="AE512" i="3"/>
  <c r="AE513" i="3"/>
  <c r="AE514" i="3"/>
  <c r="AE515" i="3"/>
  <c r="AE516" i="3"/>
  <c r="AE517" i="3"/>
  <c r="AE518" i="3"/>
  <c r="AE519" i="3"/>
  <c r="AE520" i="3"/>
  <c r="AE521" i="3"/>
  <c r="AE522" i="3"/>
  <c r="AE523" i="3"/>
  <c r="AE524" i="3"/>
  <c r="AE525" i="3"/>
  <c r="AE526" i="3"/>
  <c r="AE527" i="3"/>
  <c r="AE528" i="3"/>
  <c r="AE529" i="3"/>
  <c r="AE530" i="3"/>
  <c r="AE531" i="3"/>
  <c r="AE532" i="3"/>
  <c r="AE533" i="3"/>
  <c r="AE534" i="3"/>
  <c r="AE535" i="3"/>
  <c r="AE536" i="3"/>
  <c r="AE537" i="3"/>
  <c r="AE538" i="3"/>
  <c r="AE539" i="3"/>
  <c r="AE540" i="3"/>
  <c r="AE541" i="3"/>
  <c r="AE542" i="3"/>
  <c r="AE543" i="3"/>
  <c r="AE544" i="3"/>
  <c r="AE545" i="3"/>
  <c r="AE546" i="3"/>
  <c r="AE547" i="3"/>
  <c r="AE548" i="3"/>
  <c r="AE549" i="3"/>
  <c r="AE550" i="3"/>
  <c r="AE551" i="3"/>
  <c r="AE552" i="3"/>
  <c r="AE553" i="3"/>
  <c r="AE554" i="3"/>
  <c r="AE555" i="3"/>
  <c r="AE556" i="3"/>
  <c r="AE557" i="3"/>
  <c r="AE558" i="3"/>
  <c r="AE559" i="3"/>
  <c r="AE560" i="3"/>
  <c r="AE561" i="3"/>
  <c r="AE562" i="3"/>
  <c r="AE563" i="3"/>
  <c r="AE564" i="3"/>
  <c r="AE565" i="3"/>
  <c r="AE566" i="3"/>
  <c r="AE567" i="3"/>
  <c r="AE568" i="3"/>
  <c r="AE569" i="3"/>
  <c r="AE570" i="3"/>
  <c r="AE571" i="3"/>
  <c r="AE572" i="3"/>
  <c r="AE573" i="3"/>
  <c r="AE574" i="3"/>
  <c r="AE575" i="3"/>
  <c r="AE576" i="3"/>
  <c r="AE577" i="3"/>
  <c r="AE578" i="3"/>
  <c r="AE579" i="3"/>
  <c r="AE580" i="3"/>
  <c r="AE581" i="3"/>
  <c r="AE582" i="3"/>
  <c r="AE583" i="3"/>
  <c r="AE584" i="3"/>
  <c r="AE585" i="3"/>
  <c r="AE586" i="3"/>
  <c r="AE587" i="3"/>
  <c r="AE588" i="3"/>
  <c r="AE589" i="3"/>
  <c r="AE590" i="3"/>
  <c r="AE591" i="3"/>
  <c r="AE592" i="3"/>
  <c r="AE593" i="3"/>
  <c r="AE594" i="3"/>
  <c r="AE595" i="3"/>
  <c r="AE596" i="3"/>
  <c r="AE597" i="3"/>
  <c r="AE598" i="3"/>
  <c r="AE599" i="3"/>
  <c r="AE600" i="3"/>
  <c r="AE601" i="3"/>
  <c r="AE602" i="3"/>
  <c r="AE603" i="3"/>
  <c r="AE604" i="3"/>
  <c r="AE605" i="3"/>
  <c r="AE606" i="3"/>
  <c r="AE607" i="3"/>
  <c r="AE608" i="3"/>
  <c r="AE609" i="3"/>
  <c r="AE610" i="3"/>
  <c r="AE611" i="3"/>
  <c r="AE612" i="3"/>
  <c r="I6" i="18"/>
  <c r="I7" i="18"/>
  <c r="I8" i="18"/>
  <c r="I9" i="18"/>
  <c r="I10" i="18"/>
  <c r="I11" i="18"/>
  <c r="I12" i="18"/>
  <c r="I13" i="18"/>
  <c r="I14" i="18"/>
  <c r="I15" i="18"/>
  <c r="I16" i="18"/>
  <c r="I17" i="18"/>
  <c r="I18" i="18"/>
  <c r="I19" i="18"/>
  <c r="I20" i="18"/>
  <c r="I21" i="18"/>
  <c r="I22" i="18"/>
  <c r="I23" i="18"/>
  <c r="I24" i="18"/>
  <c r="I25" i="18"/>
  <c r="I26" i="18"/>
  <c r="I27" i="18"/>
  <c r="I28" i="18"/>
  <c r="I29" i="18"/>
  <c r="I30" i="18"/>
  <c r="I31" i="18"/>
  <c r="I32" i="18"/>
  <c r="I33" i="18"/>
  <c r="I34" i="18"/>
  <c r="I35" i="18"/>
  <c r="I36" i="18"/>
  <c r="I37" i="18"/>
  <c r="I38" i="18"/>
  <c r="I39" i="18"/>
  <c r="I40" i="18"/>
  <c r="I41" i="18"/>
  <c r="I42" i="18"/>
  <c r="I43" i="18"/>
  <c r="I44" i="18"/>
  <c r="I45" i="18"/>
  <c r="I46" i="18"/>
  <c r="I47" i="18"/>
  <c r="I48" i="18"/>
  <c r="I49" i="18"/>
  <c r="I50" i="18"/>
  <c r="I51" i="18"/>
  <c r="I52" i="18"/>
  <c r="I53" i="18"/>
  <c r="I54" i="18"/>
  <c r="I55" i="18"/>
  <c r="I56" i="18"/>
  <c r="I57" i="18"/>
  <c r="I58" i="18"/>
  <c r="I59" i="18"/>
  <c r="I60" i="18"/>
  <c r="I61" i="18"/>
  <c r="I62" i="18"/>
  <c r="I63" i="18"/>
  <c r="I64" i="18"/>
  <c r="I65" i="18"/>
  <c r="I66" i="18"/>
  <c r="I67" i="18"/>
  <c r="I68" i="18"/>
  <c r="I69" i="18"/>
  <c r="I70" i="18"/>
  <c r="I71" i="18"/>
  <c r="I72" i="18"/>
  <c r="I73" i="18"/>
  <c r="I74" i="18"/>
  <c r="I75" i="18"/>
  <c r="I76" i="18"/>
  <c r="I77" i="18"/>
  <c r="I78" i="18"/>
  <c r="I79" i="18"/>
  <c r="I80" i="18"/>
  <c r="I81" i="18"/>
  <c r="I82" i="18"/>
  <c r="I83" i="18"/>
  <c r="I84" i="18"/>
  <c r="I85" i="18"/>
  <c r="I86" i="18"/>
  <c r="I87" i="18"/>
  <c r="I88" i="18"/>
  <c r="I89" i="18"/>
  <c r="I90" i="18"/>
  <c r="I91" i="18"/>
  <c r="I92" i="18"/>
  <c r="I93" i="18"/>
  <c r="I94" i="18"/>
  <c r="I95" i="18"/>
  <c r="I96" i="18"/>
  <c r="I97" i="18"/>
  <c r="I98" i="18"/>
  <c r="I99" i="18"/>
  <c r="I100" i="18"/>
  <c r="I101" i="18"/>
  <c r="I102" i="18"/>
  <c r="I103" i="18"/>
  <c r="I104" i="18"/>
  <c r="I105" i="18"/>
  <c r="I106" i="18"/>
  <c r="I107" i="18"/>
  <c r="I108" i="18"/>
  <c r="I109" i="18"/>
  <c r="I110" i="18"/>
  <c r="I111" i="18"/>
  <c r="I112" i="18"/>
  <c r="I113" i="18"/>
  <c r="I114" i="18"/>
  <c r="I115" i="18"/>
  <c r="I116" i="18"/>
  <c r="I117" i="18"/>
  <c r="I118" i="18"/>
  <c r="I119" i="18"/>
  <c r="I120" i="18"/>
  <c r="I121" i="18"/>
  <c r="I122" i="18"/>
  <c r="I123" i="18"/>
  <c r="I124" i="18"/>
  <c r="I125" i="18"/>
  <c r="I126" i="18"/>
  <c r="I127" i="18"/>
  <c r="I128" i="18"/>
  <c r="I129" i="18"/>
  <c r="I130" i="18"/>
  <c r="I131" i="18"/>
  <c r="I132" i="18"/>
  <c r="I133" i="18"/>
  <c r="I134" i="18"/>
  <c r="I135" i="18"/>
  <c r="I136" i="18"/>
  <c r="I137" i="18"/>
  <c r="I138" i="18"/>
  <c r="I139" i="18"/>
  <c r="I140" i="18"/>
  <c r="I141" i="18"/>
  <c r="I142" i="18"/>
  <c r="I143" i="18"/>
  <c r="I144" i="18"/>
  <c r="I145" i="18"/>
  <c r="I146" i="18"/>
  <c r="I147" i="18"/>
  <c r="I148" i="18"/>
  <c r="I149" i="18"/>
  <c r="I150" i="18"/>
  <c r="I151" i="18"/>
  <c r="I152" i="18"/>
  <c r="I153" i="18"/>
  <c r="I154" i="18"/>
  <c r="I155" i="18"/>
  <c r="I156" i="18"/>
  <c r="I157" i="18"/>
  <c r="I158" i="18"/>
  <c r="I159" i="18"/>
  <c r="I160" i="18"/>
  <c r="I161" i="18"/>
  <c r="I162" i="18"/>
  <c r="I163" i="18"/>
  <c r="I164" i="18"/>
  <c r="I165" i="18"/>
  <c r="I166" i="18"/>
  <c r="I167" i="18"/>
  <c r="I168" i="18"/>
  <c r="I169" i="18"/>
  <c r="I170" i="18"/>
  <c r="I171" i="18"/>
  <c r="I172" i="18"/>
  <c r="I173" i="18"/>
  <c r="I174" i="18"/>
  <c r="I175" i="18"/>
  <c r="I176" i="18"/>
  <c r="I177" i="18"/>
  <c r="I178" i="18"/>
  <c r="I179" i="18"/>
  <c r="I180" i="18"/>
  <c r="I181" i="18"/>
  <c r="I182" i="18"/>
  <c r="I183" i="18"/>
  <c r="I184" i="18"/>
  <c r="I185" i="18"/>
  <c r="I186" i="18"/>
  <c r="I187" i="18"/>
  <c r="I188" i="18"/>
  <c r="I189" i="18"/>
  <c r="I190" i="18"/>
  <c r="I191" i="18"/>
  <c r="I192" i="18"/>
  <c r="I193" i="18"/>
  <c r="I194" i="18"/>
  <c r="I195" i="18"/>
  <c r="I196" i="18"/>
  <c r="I197" i="18"/>
  <c r="I198" i="18"/>
  <c r="I199" i="18"/>
  <c r="I200" i="18"/>
  <c r="I201" i="18"/>
  <c r="I202" i="18"/>
  <c r="I203" i="18"/>
  <c r="I204" i="18"/>
  <c r="I205" i="18"/>
  <c r="I206" i="18"/>
  <c r="I207" i="18"/>
  <c r="I208" i="18"/>
  <c r="I209" i="18"/>
  <c r="I210" i="18"/>
  <c r="I211" i="18"/>
  <c r="I212" i="18"/>
  <c r="I213" i="18"/>
  <c r="I214" i="18"/>
  <c r="I215" i="18"/>
  <c r="I216" i="18"/>
  <c r="I217" i="18"/>
  <c r="I218" i="18"/>
  <c r="I219" i="18"/>
  <c r="I220" i="18"/>
  <c r="I221" i="18"/>
  <c r="I222" i="18"/>
  <c r="I223" i="18"/>
  <c r="I224" i="18"/>
  <c r="I225" i="18"/>
  <c r="I226" i="18"/>
  <c r="I227" i="18"/>
  <c r="I228" i="18"/>
  <c r="I229" i="18"/>
  <c r="I230" i="18"/>
  <c r="I231" i="18"/>
  <c r="I232" i="18"/>
  <c r="I233" i="18"/>
  <c r="I234" i="18"/>
  <c r="I235" i="18"/>
  <c r="I236" i="18"/>
  <c r="I237" i="18"/>
  <c r="I238" i="18"/>
  <c r="I239" i="18"/>
  <c r="I240" i="18"/>
  <c r="I241" i="18"/>
  <c r="I242" i="18"/>
  <c r="I243" i="18"/>
  <c r="I244" i="18"/>
  <c r="I245" i="18"/>
  <c r="I246" i="18"/>
  <c r="I247" i="18"/>
  <c r="I248" i="18"/>
  <c r="I249" i="18"/>
  <c r="I250" i="18"/>
  <c r="I251" i="18"/>
  <c r="I252" i="18"/>
  <c r="I253" i="18"/>
  <c r="I254" i="18"/>
  <c r="I255" i="18"/>
  <c r="I256" i="18"/>
  <c r="I257" i="18"/>
  <c r="I258" i="18"/>
  <c r="I259" i="18"/>
  <c r="I260" i="18"/>
  <c r="I261" i="18"/>
  <c r="I262" i="18"/>
  <c r="I263" i="18"/>
  <c r="I264" i="18"/>
  <c r="I265" i="18"/>
  <c r="I266" i="18"/>
  <c r="I267" i="18"/>
  <c r="I268" i="18"/>
  <c r="I269" i="18"/>
  <c r="I270" i="18"/>
  <c r="I271" i="18"/>
  <c r="I272" i="18"/>
  <c r="I273" i="18"/>
  <c r="I274" i="18"/>
  <c r="I275" i="18"/>
  <c r="I276" i="18"/>
  <c r="I277" i="18"/>
  <c r="I278" i="18"/>
  <c r="I279" i="18"/>
  <c r="I280" i="18"/>
  <c r="I281" i="18"/>
  <c r="I282" i="18"/>
  <c r="I283" i="18"/>
  <c r="I284" i="18"/>
  <c r="I285" i="18"/>
  <c r="I286" i="18"/>
  <c r="I287" i="18"/>
  <c r="I288" i="18"/>
  <c r="I289" i="18"/>
  <c r="I290" i="18"/>
  <c r="I291" i="18"/>
  <c r="I292" i="18"/>
  <c r="I293" i="18"/>
  <c r="I294" i="18"/>
  <c r="I295" i="18"/>
  <c r="I296" i="18"/>
  <c r="I297" i="18"/>
  <c r="I298" i="18"/>
  <c r="I299" i="18"/>
  <c r="I300" i="18"/>
  <c r="I301" i="18"/>
  <c r="I302" i="18"/>
  <c r="I303" i="18"/>
  <c r="I304" i="18"/>
  <c r="I305" i="18"/>
  <c r="I306" i="18"/>
  <c r="I307" i="18"/>
  <c r="I308" i="18"/>
  <c r="I309" i="18"/>
  <c r="I310" i="18"/>
  <c r="I311" i="18"/>
  <c r="I312" i="18"/>
  <c r="I313" i="18"/>
  <c r="I314" i="18"/>
  <c r="I315" i="18"/>
  <c r="I316" i="18"/>
  <c r="I317" i="18"/>
  <c r="I318" i="18"/>
  <c r="I319" i="18"/>
  <c r="I320" i="18"/>
  <c r="I321" i="18"/>
  <c r="I322" i="18"/>
  <c r="I323" i="18"/>
  <c r="I324" i="18"/>
  <c r="I325" i="18"/>
  <c r="I326" i="18"/>
  <c r="I327" i="18"/>
  <c r="I328" i="18"/>
  <c r="I329" i="18"/>
  <c r="I330" i="18"/>
  <c r="I331" i="18"/>
  <c r="I332" i="18"/>
  <c r="I333" i="18"/>
  <c r="I334" i="18"/>
  <c r="I335" i="18"/>
  <c r="I336" i="18"/>
  <c r="I337" i="18"/>
  <c r="I338" i="18"/>
  <c r="I339" i="18"/>
  <c r="I340" i="18"/>
  <c r="I341" i="18"/>
  <c r="I342" i="18"/>
  <c r="I343" i="18"/>
  <c r="I344" i="18"/>
  <c r="I345" i="18"/>
  <c r="I346" i="18"/>
  <c r="I347" i="18"/>
  <c r="I348" i="18"/>
  <c r="I349" i="18"/>
  <c r="I350" i="18"/>
  <c r="I351" i="18"/>
  <c r="I352" i="18"/>
  <c r="I353" i="18"/>
  <c r="I354" i="18"/>
  <c r="I355" i="18"/>
  <c r="I356" i="18"/>
  <c r="I357" i="18"/>
  <c r="I358" i="18"/>
  <c r="I359" i="18"/>
  <c r="I360" i="18"/>
  <c r="I361" i="18"/>
  <c r="I362" i="18"/>
  <c r="I363" i="18"/>
  <c r="I364" i="18"/>
  <c r="I365" i="18"/>
  <c r="I366" i="18"/>
  <c r="I367" i="18"/>
  <c r="I368" i="18"/>
  <c r="I369" i="18"/>
  <c r="I370" i="18"/>
  <c r="I371" i="18"/>
  <c r="I372" i="18"/>
  <c r="I373" i="18"/>
  <c r="I374" i="18"/>
  <c r="I375" i="18"/>
  <c r="I376" i="18"/>
  <c r="I377" i="18"/>
  <c r="I378" i="18"/>
  <c r="I379" i="18"/>
  <c r="I380" i="18"/>
  <c r="I381" i="18"/>
  <c r="I382" i="18"/>
  <c r="I383" i="18"/>
  <c r="I384" i="18"/>
  <c r="I385" i="18"/>
  <c r="I386" i="18"/>
  <c r="I387" i="18"/>
  <c r="I388" i="18"/>
  <c r="I389" i="18"/>
  <c r="I390" i="18"/>
  <c r="I391" i="18"/>
  <c r="I392" i="18"/>
  <c r="I393" i="18"/>
  <c r="I394" i="18"/>
  <c r="I395" i="18"/>
  <c r="I396" i="18"/>
  <c r="I397" i="18"/>
  <c r="I398" i="18"/>
  <c r="I399" i="18"/>
  <c r="I400" i="18"/>
  <c r="I401" i="18"/>
  <c r="I402" i="18"/>
  <c r="I403" i="18"/>
  <c r="I404" i="18"/>
  <c r="I405" i="18"/>
  <c r="I406" i="18"/>
  <c r="I407" i="18"/>
  <c r="I408" i="18"/>
  <c r="I409" i="18"/>
  <c r="I410" i="18"/>
  <c r="I411" i="18"/>
  <c r="I412" i="18"/>
  <c r="I413" i="18"/>
  <c r="I414" i="18"/>
  <c r="I415" i="18"/>
  <c r="I416" i="18"/>
  <c r="I417" i="18"/>
  <c r="I418" i="18"/>
  <c r="I419" i="18"/>
  <c r="I420" i="18"/>
  <c r="I421" i="18"/>
  <c r="I422" i="18"/>
  <c r="I423" i="18"/>
  <c r="I424" i="18"/>
  <c r="I425" i="18"/>
  <c r="I426" i="18"/>
  <c r="I427" i="18"/>
  <c r="I428" i="18"/>
  <c r="I429" i="18"/>
  <c r="I430" i="18"/>
  <c r="I431" i="18"/>
  <c r="I432" i="18"/>
  <c r="I433" i="18"/>
  <c r="I434" i="18"/>
  <c r="I435" i="18"/>
  <c r="I436" i="18"/>
  <c r="I437" i="18"/>
  <c r="I438" i="18"/>
  <c r="I439" i="18"/>
  <c r="I440" i="18"/>
  <c r="I441" i="18"/>
  <c r="I442" i="18"/>
  <c r="I443" i="18"/>
  <c r="I444" i="18"/>
  <c r="I445" i="18"/>
  <c r="I446" i="18"/>
  <c r="I447" i="18"/>
  <c r="I448" i="18"/>
  <c r="I449" i="18"/>
  <c r="I450" i="18"/>
  <c r="I451" i="18"/>
  <c r="I452" i="18"/>
  <c r="I453" i="18"/>
  <c r="I454" i="18"/>
  <c r="I455" i="18"/>
  <c r="I456" i="18"/>
  <c r="I457" i="18"/>
  <c r="I458" i="18"/>
  <c r="I459" i="18"/>
  <c r="I460" i="18"/>
  <c r="I461" i="18"/>
  <c r="I462" i="18"/>
  <c r="I463" i="18"/>
  <c r="I464" i="18"/>
  <c r="I465" i="18"/>
  <c r="I466" i="18"/>
  <c r="I467" i="18"/>
  <c r="I468" i="18"/>
  <c r="I469" i="18"/>
  <c r="I470" i="18"/>
  <c r="I471" i="18"/>
  <c r="I472" i="18"/>
  <c r="I473" i="18"/>
  <c r="I474" i="18"/>
  <c r="I475" i="18"/>
  <c r="I476" i="18"/>
  <c r="I477" i="18"/>
  <c r="I478" i="18"/>
  <c r="I479" i="18"/>
  <c r="I480" i="18"/>
  <c r="I481" i="18"/>
  <c r="I482" i="18"/>
  <c r="I483" i="18"/>
  <c r="I484" i="18"/>
  <c r="I485" i="18"/>
  <c r="I486" i="18"/>
  <c r="I487" i="18"/>
  <c r="I488" i="18"/>
  <c r="I489" i="18"/>
  <c r="I490" i="18"/>
  <c r="I491" i="18"/>
  <c r="I492" i="18"/>
  <c r="I493" i="18"/>
  <c r="I494" i="18"/>
  <c r="I495" i="18"/>
  <c r="I496" i="18"/>
  <c r="I497" i="18"/>
  <c r="I498" i="18"/>
  <c r="I499" i="18"/>
  <c r="I500" i="18"/>
  <c r="I501" i="18"/>
  <c r="I502" i="18"/>
  <c r="I503" i="18"/>
  <c r="I504" i="18"/>
  <c r="I505" i="18"/>
  <c r="I506" i="18"/>
  <c r="I507" i="18"/>
  <c r="I508" i="18"/>
  <c r="I509" i="18"/>
  <c r="I510" i="18"/>
  <c r="I511" i="18"/>
  <c r="I512" i="18"/>
  <c r="I513" i="18"/>
  <c r="I514" i="18"/>
  <c r="I515" i="18"/>
  <c r="I516" i="18"/>
  <c r="I517" i="18"/>
  <c r="I518" i="18"/>
  <c r="I519" i="18"/>
  <c r="I520" i="18"/>
  <c r="I521" i="18"/>
  <c r="I522" i="18"/>
  <c r="I523" i="18"/>
  <c r="I524" i="18"/>
  <c r="I525" i="18"/>
  <c r="I526" i="18"/>
  <c r="I527" i="18"/>
  <c r="I528" i="18"/>
  <c r="I529" i="18"/>
  <c r="I530" i="18"/>
  <c r="I531" i="18"/>
  <c r="I532" i="18"/>
  <c r="I533" i="18"/>
  <c r="I534" i="18"/>
  <c r="I535" i="18"/>
  <c r="I536" i="18"/>
  <c r="I5" i="18"/>
  <c r="G13" i="28"/>
  <c r="G12" i="28"/>
  <c r="G11" i="28"/>
  <c r="G10" i="28"/>
  <c r="G9" i="28"/>
  <c r="G8" i="28"/>
  <c r="G7" i="28"/>
  <c r="G6" i="28"/>
  <c r="G5" i="28"/>
  <c r="Y10" i="27"/>
  <c r="Y12" i="27"/>
  <c r="AH22" i="27"/>
  <c r="AH21" i="27"/>
  <c r="AH20" i="27"/>
  <c r="AH19" i="27"/>
  <c r="N22" i="27"/>
  <c r="M22" i="27"/>
  <c r="J22" i="27"/>
  <c r="AI22" i="27"/>
  <c r="E22" i="27"/>
  <c r="N21" i="27"/>
  <c r="AP21" i="27" s="1"/>
  <c r="M21" i="27"/>
  <c r="AO21" i="27" s="1"/>
  <c r="J21" i="27"/>
  <c r="E21" i="27"/>
  <c r="AH18" i="27"/>
  <c r="N20" i="27"/>
  <c r="M20" i="27"/>
  <c r="AO20" i="27" s="1"/>
  <c r="J20" i="27"/>
  <c r="AS20" i="27" s="1"/>
  <c r="E20" i="27"/>
  <c r="N18" i="27"/>
  <c r="M18" i="27"/>
  <c r="J18" i="27"/>
  <c r="AS18" i="27" s="1"/>
  <c r="E18" i="27"/>
  <c r="N19" i="27"/>
  <c r="M19" i="27"/>
  <c r="J19" i="27"/>
  <c r="AS19" i="27" s="1"/>
  <c r="E19" i="27"/>
  <c r="AB13" i="27"/>
  <c r="AA13" i="27"/>
  <c r="AB12" i="27"/>
  <c r="AA12" i="27"/>
  <c r="AB11" i="27"/>
  <c r="AA11" i="27"/>
  <c r="AB10" i="27"/>
  <c r="AA10" i="27"/>
  <c r="AB9" i="27"/>
  <c r="AA9" i="27"/>
  <c r="N20" i="26"/>
  <c r="M20" i="26"/>
  <c r="AO20" i="26" s="1"/>
  <c r="J20" i="26"/>
  <c r="E20" i="26"/>
  <c r="N30" i="26"/>
  <c r="AP30" i="26" s="1"/>
  <c r="M30" i="26"/>
  <c r="J30" i="26"/>
  <c r="AS30" i="26" s="1"/>
  <c r="E30" i="26"/>
  <c r="AH30" i="26"/>
  <c r="AH29" i="26"/>
  <c r="N25" i="26"/>
  <c r="M25" i="26"/>
  <c r="J25" i="26"/>
  <c r="E25" i="26"/>
  <c r="AH28" i="26"/>
  <c r="AH27" i="26"/>
  <c r="N24" i="26"/>
  <c r="M24" i="26"/>
  <c r="J24" i="26"/>
  <c r="E24" i="26"/>
  <c r="AH26" i="26"/>
  <c r="N23" i="26"/>
  <c r="M23" i="26"/>
  <c r="J23" i="26"/>
  <c r="E23" i="26"/>
  <c r="AH25" i="26"/>
  <c r="AH24" i="26"/>
  <c r="AH23" i="26"/>
  <c r="N29" i="26"/>
  <c r="M29" i="26"/>
  <c r="J29" i="26"/>
  <c r="E29" i="26"/>
  <c r="AH22" i="26"/>
  <c r="N22" i="26"/>
  <c r="M22" i="26"/>
  <c r="AO22" i="26" s="1"/>
  <c r="J22" i="26"/>
  <c r="AS22" i="26" s="1"/>
  <c r="E22" i="26"/>
  <c r="AH21" i="26"/>
  <c r="N28" i="26"/>
  <c r="AP28" i="26" s="1"/>
  <c r="M28" i="26"/>
  <c r="J28" i="26"/>
  <c r="E28" i="26"/>
  <c r="AH20" i="26"/>
  <c r="AH19" i="26"/>
  <c r="AH18" i="26"/>
  <c r="N19" i="26"/>
  <c r="M19" i="26"/>
  <c r="J19" i="26"/>
  <c r="AS19" i="26" s="1"/>
  <c r="AI19" i="26"/>
  <c r="E19" i="26"/>
  <c r="N27" i="26"/>
  <c r="M27" i="26"/>
  <c r="J27" i="26"/>
  <c r="E27" i="26"/>
  <c r="N18" i="26"/>
  <c r="AP18" i="26" s="1"/>
  <c r="M18" i="26"/>
  <c r="J18" i="26"/>
  <c r="E18" i="26"/>
  <c r="N21" i="26"/>
  <c r="AP21" i="26" s="1"/>
  <c r="M21" i="26"/>
  <c r="J21" i="26"/>
  <c r="E21" i="26"/>
  <c r="N26" i="26"/>
  <c r="M26" i="26"/>
  <c r="J26" i="26"/>
  <c r="AI26" i="26"/>
  <c r="E26" i="26"/>
  <c r="AB13" i="26"/>
  <c r="AA13" i="26"/>
  <c r="AB12" i="26"/>
  <c r="AA12" i="26"/>
  <c r="AB11" i="26"/>
  <c r="AA11" i="26"/>
  <c r="AB10" i="26"/>
  <c r="AA10" i="26"/>
  <c r="AB9" i="26"/>
  <c r="AA9" i="26"/>
  <c r="N34" i="25"/>
  <c r="M34" i="25"/>
  <c r="J34" i="25"/>
  <c r="AS34" i="25" s="1"/>
  <c r="E34" i="25"/>
  <c r="N31" i="25"/>
  <c r="M31" i="25"/>
  <c r="AO31" i="25" s="1"/>
  <c r="J31" i="25"/>
  <c r="E31" i="25"/>
  <c r="N30" i="25"/>
  <c r="AP30" i="25" s="1"/>
  <c r="M30" i="25"/>
  <c r="J30" i="25"/>
  <c r="E30" i="25"/>
  <c r="N29" i="25"/>
  <c r="AP29" i="25" s="1"/>
  <c r="M29" i="25"/>
  <c r="J29" i="25"/>
  <c r="E29" i="25"/>
  <c r="N28" i="25"/>
  <c r="AP28" i="25" s="1"/>
  <c r="M28" i="25"/>
  <c r="J28" i="25"/>
  <c r="E28" i="25"/>
  <c r="AH34" i="25"/>
  <c r="N27" i="25"/>
  <c r="AP27" i="25" s="1"/>
  <c r="M27" i="25"/>
  <c r="AO27" i="25" s="1"/>
  <c r="J27" i="25"/>
  <c r="E27" i="25"/>
  <c r="AH33" i="25"/>
  <c r="AH32" i="25"/>
  <c r="N26" i="25"/>
  <c r="AP26" i="25" s="1"/>
  <c r="M26" i="25"/>
  <c r="AO26" i="25" s="1"/>
  <c r="J26" i="25"/>
  <c r="E26" i="25"/>
  <c r="AH31" i="25"/>
  <c r="N33" i="25"/>
  <c r="M33" i="25"/>
  <c r="J33" i="25"/>
  <c r="AS33" i="25" s="1"/>
  <c r="E33" i="25"/>
  <c r="AH30" i="25"/>
  <c r="N25" i="25"/>
  <c r="M25" i="25"/>
  <c r="J25" i="25"/>
  <c r="E25" i="25"/>
  <c r="AH29" i="25"/>
  <c r="N24" i="25"/>
  <c r="AP24" i="25" s="1"/>
  <c r="M24" i="25"/>
  <c r="AO24" i="25" s="1"/>
  <c r="J24" i="25"/>
  <c r="AS24" i="25" s="1"/>
  <c r="E24" i="25"/>
  <c r="AH28" i="25"/>
  <c r="N23" i="25"/>
  <c r="M23" i="25"/>
  <c r="J23" i="25"/>
  <c r="AS23" i="25" s="1"/>
  <c r="E23" i="25"/>
  <c r="AH27" i="25"/>
  <c r="N22" i="25"/>
  <c r="M22" i="25"/>
  <c r="J22" i="25"/>
  <c r="E22" i="25"/>
  <c r="AH26" i="25"/>
  <c r="AH25" i="25"/>
  <c r="N21" i="25"/>
  <c r="M21" i="25"/>
  <c r="J21" i="25"/>
  <c r="E21" i="25"/>
  <c r="AH24" i="25"/>
  <c r="AH23" i="25"/>
  <c r="N32" i="25"/>
  <c r="M32" i="25"/>
  <c r="J32" i="25"/>
  <c r="AS32" i="25" s="1"/>
  <c r="E32" i="25"/>
  <c r="AH22" i="25"/>
  <c r="N20" i="25"/>
  <c r="M20" i="25"/>
  <c r="J20" i="25"/>
  <c r="AS20" i="25" s="1"/>
  <c r="AI20" i="25"/>
  <c r="E20" i="25"/>
  <c r="AH21" i="25"/>
  <c r="AH20" i="25"/>
  <c r="AH19" i="25"/>
  <c r="N19" i="25"/>
  <c r="M19" i="25"/>
  <c r="AO19" i="25" s="1"/>
  <c r="J19" i="25"/>
  <c r="AS19" i="25" s="1"/>
  <c r="E19" i="25"/>
  <c r="AH18" i="25"/>
  <c r="N18" i="25"/>
  <c r="AP18" i="25" s="1"/>
  <c r="M18" i="25"/>
  <c r="AO18" i="25" s="1"/>
  <c r="J18" i="25"/>
  <c r="AS18" i="25" s="1"/>
  <c r="E18" i="25"/>
  <c r="AB13" i="25"/>
  <c r="AA13" i="25"/>
  <c r="AB12" i="25"/>
  <c r="AA12" i="25"/>
  <c r="AB11" i="25"/>
  <c r="AA11" i="25"/>
  <c r="AB10" i="25"/>
  <c r="AA10" i="25"/>
  <c r="AB9" i="25"/>
  <c r="AA9" i="25"/>
  <c r="J19" i="21"/>
  <c r="J20" i="21"/>
  <c r="J21" i="21"/>
  <c r="J22" i="21"/>
  <c r="J23" i="21"/>
  <c r="J24" i="21"/>
  <c r="J25" i="21"/>
  <c r="J26" i="21"/>
  <c r="J27" i="21"/>
  <c r="J28" i="21"/>
  <c r="J29" i="21"/>
  <c r="J30" i="21"/>
  <c r="J31" i="21"/>
  <c r="J32" i="21"/>
  <c r="J33" i="21"/>
  <c r="J34" i="21"/>
  <c r="J35" i="21"/>
  <c r="J36" i="21"/>
  <c r="J37" i="21"/>
  <c r="J38" i="21"/>
  <c r="J39" i="21"/>
  <c r="J40" i="21"/>
  <c r="J41" i="21"/>
  <c r="J42" i="21"/>
  <c r="J43" i="21"/>
  <c r="J44" i="21"/>
  <c r="J45" i="21"/>
  <c r="J46" i="21"/>
  <c r="J47" i="21"/>
  <c r="J48" i="21"/>
  <c r="J49" i="21"/>
  <c r="J18" i="21"/>
  <c r="K18" i="25"/>
  <c r="K19" i="27"/>
  <c r="AN698" i="18"/>
  <c r="AN699" i="18"/>
  <c r="AN700" i="18"/>
  <c r="AN701" i="18"/>
  <c r="AN702" i="18"/>
  <c r="AN703" i="18"/>
  <c r="AN704" i="18"/>
  <c r="AN705" i="18"/>
  <c r="AN706" i="18"/>
  <c r="AN707" i="18"/>
  <c r="AN708" i="18"/>
  <c r="AN709" i="18"/>
  <c r="AN710" i="18"/>
  <c r="AN711" i="18"/>
  <c r="AN712" i="18"/>
  <c r="AN713" i="18"/>
  <c r="AN714" i="18"/>
  <c r="AN715" i="18"/>
  <c r="AN716" i="18"/>
  <c r="AN717" i="18"/>
  <c r="AN718" i="18"/>
  <c r="AN719" i="18"/>
  <c r="AN720" i="18"/>
  <c r="AN721" i="18"/>
  <c r="AN722" i="18"/>
  <c r="AN723" i="18"/>
  <c r="AN724" i="18"/>
  <c r="AN725" i="18"/>
  <c r="AN726" i="18"/>
  <c r="AN674" i="18"/>
  <c r="AN675" i="18"/>
  <c r="AN676" i="18"/>
  <c r="AN677" i="18"/>
  <c r="AN678" i="18"/>
  <c r="AN679" i="18"/>
  <c r="AN680" i="18"/>
  <c r="AN681" i="18"/>
  <c r="AN682" i="18"/>
  <c r="AN683" i="18"/>
  <c r="AN684" i="18"/>
  <c r="AN685" i="18"/>
  <c r="AN686" i="18"/>
  <c r="AN687" i="18"/>
  <c r="AN688" i="18"/>
  <c r="AN689" i="18"/>
  <c r="AN690" i="18"/>
  <c r="AN691" i="18"/>
  <c r="AN692" i="18"/>
  <c r="AN693" i="18"/>
  <c r="AN694" i="18"/>
  <c r="AN695" i="18"/>
  <c r="AN696" i="18"/>
  <c r="AN697" i="18"/>
  <c r="AB862" i="18"/>
  <c r="AN648" i="18"/>
  <c r="AN649" i="18"/>
  <c r="AN650" i="18"/>
  <c r="AN651" i="18"/>
  <c r="AN652" i="18"/>
  <c r="AN653" i="18"/>
  <c r="AN654" i="18"/>
  <c r="AN655" i="18"/>
  <c r="AN656" i="18"/>
  <c r="AN657" i="18"/>
  <c r="AN658" i="18"/>
  <c r="AN659" i="18"/>
  <c r="AN660" i="18"/>
  <c r="AN661" i="18"/>
  <c r="AN662" i="18"/>
  <c r="AN663" i="18"/>
  <c r="AN664" i="18"/>
  <c r="AN665" i="18"/>
  <c r="AN666" i="18"/>
  <c r="AN667" i="18"/>
  <c r="AN668" i="18"/>
  <c r="AN669" i="18"/>
  <c r="AN670" i="18"/>
  <c r="AN671" i="18"/>
  <c r="AN672" i="18"/>
  <c r="AN673" i="18"/>
  <c r="AB861" i="18"/>
  <c r="AU136" i="18"/>
  <c r="AU137" i="18"/>
  <c r="D6" i="6"/>
  <c r="D7" i="6"/>
  <c r="D8" i="6"/>
  <c r="D9" i="6"/>
  <c r="D10" i="6"/>
  <c r="D11" i="6"/>
  <c r="D12" i="6"/>
  <c r="D13" i="6"/>
  <c r="D14" i="6"/>
  <c r="D15" i="6"/>
  <c r="D16" i="6"/>
  <c r="D17" i="6"/>
  <c r="D18" i="6"/>
  <c r="D19" i="6"/>
  <c r="D20" i="6"/>
  <c r="D21" i="6"/>
  <c r="D5" i="6"/>
  <c r="C6" i="6"/>
  <c r="C7" i="6"/>
  <c r="C8" i="6"/>
  <c r="C9" i="6"/>
  <c r="C10" i="6"/>
  <c r="C11" i="6"/>
  <c r="C12" i="6"/>
  <c r="C13" i="6"/>
  <c r="C14" i="6"/>
  <c r="C15" i="6"/>
  <c r="C16" i="6"/>
  <c r="C17" i="6"/>
  <c r="C18" i="6"/>
  <c r="C19" i="6"/>
  <c r="C20" i="6"/>
  <c r="C21" i="6"/>
  <c r="F26" i="32" l="1"/>
  <c r="F24" i="32"/>
  <c r="F22" i="32"/>
  <c r="F30" i="32"/>
  <c r="F25" i="32"/>
  <c r="F27" i="32"/>
  <c r="F29" i="32"/>
  <c r="F31" i="32"/>
  <c r="F28" i="32"/>
  <c r="M30" i="32"/>
  <c r="O30" i="32" s="1"/>
  <c r="F8" i="32"/>
  <c r="F6" i="32"/>
  <c r="F13" i="32"/>
  <c r="F12" i="32"/>
  <c r="F10" i="32"/>
  <c r="F9" i="32"/>
  <c r="F11" i="32"/>
  <c r="F7" i="32"/>
  <c r="F5" i="32"/>
  <c r="K5" i="32" s="1"/>
  <c r="J31" i="32"/>
  <c r="J30" i="32"/>
  <c r="L31" i="32"/>
  <c r="K7" i="32"/>
  <c r="J13" i="32"/>
  <c r="L7" i="32"/>
  <c r="F34" i="6"/>
  <c r="F43" i="6"/>
  <c r="F33" i="6"/>
  <c r="F30" i="6"/>
  <c r="F40" i="6"/>
  <c r="F36" i="6"/>
  <c r="F45" i="6"/>
  <c r="F32" i="6"/>
  <c r="I25" i="31"/>
  <c r="I21" i="31"/>
  <c r="I24" i="31"/>
  <c r="I27" i="31"/>
  <c r="I26" i="31"/>
  <c r="H23" i="31"/>
  <c r="H22" i="31"/>
  <c r="I22" i="31"/>
  <c r="H28" i="31"/>
  <c r="I28" i="31"/>
  <c r="H29" i="31"/>
  <c r="I29" i="31"/>
  <c r="H27" i="31"/>
  <c r="I11" i="31"/>
  <c r="H19" i="26"/>
  <c r="AJ19" i="26" s="1"/>
  <c r="AL19" i="26" s="1"/>
  <c r="I10" i="31"/>
  <c r="I9" i="31"/>
  <c r="H18" i="26"/>
  <c r="T6" i="25"/>
  <c r="I13" i="31"/>
  <c r="I5" i="31"/>
  <c r="M8" i="31" s="1"/>
  <c r="T6" i="26"/>
  <c r="I8" i="31"/>
  <c r="H11" i="31"/>
  <c r="I7" i="31"/>
  <c r="I6" i="31"/>
  <c r="H8" i="31"/>
  <c r="I12" i="31"/>
  <c r="G32" i="25"/>
  <c r="AI32" i="25" s="1"/>
  <c r="C11" i="30" a="1"/>
  <c r="C11" i="30" s="1"/>
  <c r="C10" i="29" a="1"/>
  <c r="C10" i="29" s="1"/>
  <c r="C27" i="28" a="1"/>
  <c r="C27" i="28" s="1"/>
  <c r="D18" i="28" a="1"/>
  <c r="D18" i="28" s="1"/>
  <c r="D18" i="29" a="1"/>
  <c r="D18" i="29" s="1"/>
  <c r="E18" i="29" s="1"/>
  <c r="C30" i="28" a="1"/>
  <c r="C30" i="28" s="1"/>
  <c r="C24" i="30" a="1"/>
  <c r="C24" i="30" s="1"/>
  <c r="D27" i="29" a="1"/>
  <c r="D27" i="29" s="1"/>
  <c r="D20" i="30" a="1"/>
  <c r="D20" i="30" s="1"/>
  <c r="E20" i="30" s="1"/>
  <c r="D21" i="28" a="1"/>
  <c r="D21" i="28" s="1"/>
  <c r="E21" i="28" s="1"/>
  <c r="C28" i="29" a="1"/>
  <c r="C28" i="29" s="1"/>
  <c r="D22" i="29" a="1"/>
  <c r="D22" i="29" s="1"/>
  <c r="C18" i="29" a="1"/>
  <c r="C18" i="29" s="1"/>
  <c r="C17" i="29" a="1"/>
  <c r="C17" i="29" s="1"/>
  <c r="D23" i="28" a="1"/>
  <c r="D23" i="28" s="1"/>
  <c r="C20" i="30" a="1"/>
  <c r="C20" i="30" s="1"/>
  <c r="C26" i="29" a="1"/>
  <c r="C26" i="29" s="1"/>
  <c r="C27" i="30" a="1"/>
  <c r="C27" i="30" s="1"/>
  <c r="C21" i="30" a="1"/>
  <c r="C21" i="30" s="1"/>
  <c r="C19" i="29" a="1"/>
  <c r="C19" i="29" s="1"/>
  <c r="D23" i="29" a="1"/>
  <c r="D23" i="29" s="1"/>
  <c r="E23" i="29" s="1"/>
  <c r="D16" i="28" a="1"/>
  <c r="D16" i="28" s="1"/>
  <c r="C25" i="28" a="1"/>
  <c r="C25" i="28" s="1"/>
  <c r="D19" i="30" a="1"/>
  <c r="D19" i="30" s="1"/>
  <c r="D32" i="29" a="1"/>
  <c r="D32" i="29" s="1"/>
  <c r="C22" i="29" a="1"/>
  <c r="C22" i="29" s="1"/>
  <c r="D24" i="28" a="1"/>
  <c r="D24" i="28" s="1"/>
  <c r="D31" i="28" a="1"/>
  <c r="D31" i="28" s="1"/>
  <c r="D20" i="29" a="1"/>
  <c r="D20" i="29" s="1"/>
  <c r="C25" i="29" a="1"/>
  <c r="C25" i="29" s="1"/>
  <c r="C24" i="28" a="1"/>
  <c r="C24" i="28" s="1"/>
  <c r="E24" i="28" s="1"/>
  <c r="C22" i="28" a="1"/>
  <c r="C22" i="28" s="1"/>
  <c r="C23" i="29" a="1"/>
  <c r="C23" i="29" s="1"/>
  <c r="C17" i="28" a="1"/>
  <c r="C17" i="28" s="1"/>
  <c r="C29" i="28" a="1"/>
  <c r="C29" i="28" s="1"/>
  <c r="C17" i="30" a="1"/>
  <c r="C17" i="30" s="1"/>
  <c r="D22" i="30" a="1"/>
  <c r="D22" i="30" s="1"/>
  <c r="C30" i="30" a="1"/>
  <c r="C30" i="30" s="1"/>
  <c r="E8" i="6"/>
  <c r="C31" i="28" a="1"/>
  <c r="C31" i="28" s="1"/>
  <c r="D26" i="30" a="1"/>
  <c r="D26" i="30" s="1"/>
  <c r="C16" i="30" a="1"/>
  <c r="C16" i="30" s="1"/>
  <c r="AL20" i="25"/>
  <c r="C12" i="30" a="1"/>
  <c r="C12" i="30" s="1"/>
  <c r="D8" i="29" a="1"/>
  <c r="D8" i="29" s="1"/>
  <c r="C6" i="30" a="1"/>
  <c r="C6" i="30" s="1"/>
  <c r="D12" i="30" a="1"/>
  <c r="D12" i="30" s="1"/>
  <c r="C10" i="30" a="1"/>
  <c r="C10" i="30" s="1"/>
  <c r="C9" i="29" a="1"/>
  <c r="C9" i="29" s="1"/>
  <c r="C7" i="30" a="1"/>
  <c r="C7" i="30" s="1"/>
  <c r="C8" i="29" a="1"/>
  <c r="C8" i="29" s="1"/>
  <c r="D12" i="29" a="1"/>
  <c r="D12" i="29" s="1"/>
  <c r="C12" i="29" a="1"/>
  <c r="C12" i="29" s="1"/>
  <c r="D10" i="30" a="1"/>
  <c r="D10" i="30" s="1"/>
  <c r="D13" i="29" a="1"/>
  <c r="D13" i="29" s="1"/>
  <c r="D6" i="29" a="1"/>
  <c r="D6" i="29" s="1"/>
  <c r="C5" i="30" a="1"/>
  <c r="C5" i="30" s="1"/>
  <c r="D11" i="29" a="1"/>
  <c r="D11" i="29" s="1"/>
  <c r="C6" i="29" a="1"/>
  <c r="C6" i="29" s="1"/>
  <c r="C13" i="29" a="1"/>
  <c r="C13" i="29" s="1"/>
  <c r="C11" i="29" a="1"/>
  <c r="C11" i="29" s="1"/>
  <c r="D10" i="29" a="1"/>
  <c r="D10" i="29" s="1"/>
  <c r="C8" i="30" a="1"/>
  <c r="C8" i="30" s="1"/>
  <c r="C9" i="30" a="1"/>
  <c r="C9" i="30" s="1"/>
  <c r="D5" i="30" a="1"/>
  <c r="D5" i="30" s="1"/>
  <c r="D8" i="28" a="1"/>
  <c r="D8" i="28" s="1"/>
  <c r="D8" i="30" a="1"/>
  <c r="D8" i="30" s="1"/>
  <c r="C13" i="30" a="1"/>
  <c r="C13" i="30" s="1"/>
  <c r="D9" i="29" a="1"/>
  <c r="D9" i="29" s="1"/>
  <c r="D7" i="30" a="1"/>
  <c r="D7" i="30" s="1"/>
  <c r="F7" i="30" s="1"/>
  <c r="D7" i="29" a="1"/>
  <c r="D7" i="29" s="1"/>
  <c r="C7" i="29" a="1"/>
  <c r="C7" i="29" s="1"/>
  <c r="D9" i="30" a="1"/>
  <c r="D9" i="30" s="1"/>
  <c r="C5" i="29" a="1"/>
  <c r="C5" i="29" s="1"/>
  <c r="F5" i="29" s="1"/>
  <c r="D5" i="29" a="1"/>
  <c r="D5" i="29" s="1"/>
  <c r="D11" i="30" a="1"/>
  <c r="D11" i="30" s="1"/>
  <c r="D6" i="30" a="1"/>
  <c r="D6" i="30" s="1"/>
  <c r="D13" i="30" a="1"/>
  <c r="D13" i="30" s="1"/>
  <c r="C32" i="29" a="1"/>
  <c r="C32" i="29" s="1"/>
  <c r="E32" i="29" s="1"/>
  <c r="D32" i="30" a="1"/>
  <c r="D32" i="30" s="1"/>
  <c r="D23" i="30" a="1"/>
  <c r="D23" i="30" s="1"/>
  <c r="D17" i="28" a="1"/>
  <c r="D17" i="28" s="1"/>
  <c r="E17" i="28" s="1"/>
  <c r="C23" i="30" a="1"/>
  <c r="C23" i="30" s="1"/>
  <c r="C31" i="29" a="1"/>
  <c r="C31" i="29" s="1"/>
  <c r="C20" i="28" a="1"/>
  <c r="C20" i="28" s="1"/>
  <c r="D30" i="30" a="1"/>
  <c r="D30" i="30" s="1"/>
  <c r="C19" i="30" a="1"/>
  <c r="C19" i="30" s="1"/>
  <c r="E19" i="30" s="1"/>
  <c r="C30" i="29" a="1"/>
  <c r="C30" i="29" s="1"/>
  <c r="C26" i="30" a="1"/>
  <c r="C26" i="30" s="1"/>
  <c r="D30" i="28" a="1"/>
  <c r="D30" i="28" s="1"/>
  <c r="E30" i="28" s="1"/>
  <c r="D26" i="28" a="1"/>
  <c r="D26" i="28" s="1"/>
  <c r="C23" i="28" a="1"/>
  <c r="C23" i="28" s="1"/>
  <c r="E23" i="28" s="1"/>
  <c r="D19" i="28" a="1"/>
  <c r="D19" i="28" s="1"/>
  <c r="D29" i="29" a="1"/>
  <c r="D29" i="29" s="1"/>
  <c r="C20" i="29" a="1"/>
  <c r="C20" i="29" s="1"/>
  <c r="D29" i="30" a="1"/>
  <c r="D29" i="30" s="1"/>
  <c r="C22" i="30" a="1"/>
  <c r="C22" i="30" s="1"/>
  <c r="E22" i="30" s="1"/>
  <c r="D18" i="30" a="1"/>
  <c r="D18" i="30" s="1"/>
  <c r="C26" i="28" a="1"/>
  <c r="C26" i="28" s="1"/>
  <c r="C29" i="29" a="1"/>
  <c r="C29" i="29" s="1"/>
  <c r="D24" i="29" a="1"/>
  <c r="D24" i="29" s="1"/>
  <c r="C29" i="30" a="1"/>
  <c r="C29" i="30" s="1"/>
  <c r="D25" i="30" a="1"/>
  <c r="D25" i="30" s="1"/>
  <c r="C28" i="30" a="1"/>
  <c r="C28" i="30" s="1"/>
  <c r="D28" i="28" a="1"/>
  <c r="D28" i="28" s="1"/>
  <c r="E28" i="28" s="1"/>
  <c r="D17" i="29" a="1"/>
  <c r="D17" i="29" s="1"/>
  <c r="E17" i="29" s="1"/>
  <c r="C32" i="28" a="1"/>
  <c r="C32" i="28" s="1"/>
  <c r="D27" i="28" a="1"/>
  <c r="D27" i="28" s="1"/>
  <c r="E27" i="28" s="1"/>
  <c r="D21" i="29" a="1"/>
  <c r="D21" i="29" s="1"/>
  <c r="D30" i="29" a="1"/>
  <c r="D30" i="29" s="1"/>
  <c r="D16" i="30" a="1"/>
  <c r="D16" i="30" s="1"/>
  <c r="C18" i="28" a="1"/>
  <c r="C18" i="28" s="1"/>
  <c r="D32" i="28" a="1"/>
  <c r="D32" i="28" s="1"/>
  <c r="C21" i="28" a="1"/>
  <c r="C21" i="28" s="1"/>
  <c r="C32" i="30" a="1"/>
  <c r="C32" i="30" s="1"/>
  <c r="D31" i="29" a="1"/>
  <c r="D31" i="29" s="1"/>
  <c r="D31" i="30" a="1"/>
  <c r="D31" i="30" s="1"/>
  <c r="D20" i="28" a="1"/>
  <c r="D20" i="28" s="1"/>
  <c r="E20" i="28" s="1"/>
  <c r="C31" i="30" a="1"/>
  <c r="C31" i="30" s="1"/>
  <c r="D25" i="29" a="1"/>
  <c r="D25" i="29" s="1"/>
  <c r="D22" i="28" a="1"/>
  <c r="D22" i="28" s="1"/>
  <c r="C19" i="28" a="1"/>
  <c r="C19" i="28" s="1"/>
  <c r="C24" i="29" a="1"/>
  <c r="C24" i="29" s="1"/>
  <c r="D19" i="29" a="1"/>
  <c r="D19" i="29" s="1"/>
  <c r="D21" i="30" a="1"/>
  <c r="D21" i="30" s="1"/>
  <c r="C18" i="30" a="1"/>
  <c r="C18" i="30" s="1"/>
  <c r="D29" i="28" a="1"/>
  <c r="D29" i="28" s="1"/>
  <c r="D25" i="28" a="1"/>
  <c r="D25" i="28" s="1"/>
  <c r="E25" i="28" s="1"/>
  <c r="C16" i="29" a="1"/>
  <c r="C16" i="29" s="1"/>
  <c r="D28" i="29" a="1"/>
  <c r="D28" i="29" s="1"/>
  <c r="D28" i="30" a="1"/>
  <c r="D28" i="30" s="1"/>
  <c r="C25" i="30" a="1"/>
  <c r="C25" i="30" s="1"/>
  <c r="D17" i="30" a="1"/>
  <c r="D17" i="30" s="1"/>
  <c r="E17" i="30" s="1"/>
  <c r="D24" i="30" a="1"/>
  <c r="D24" i="30" s="1"/>
  <c r="C27" i="29" a="1"/>
  <c r="C27" i="29" s="1"/>
  <c r="D26" i="29" a="1"/>
  <c r="D26" i="29" s="1"/>
  <c r="D27" i="30" a="1"/>
  <c r="D27" i="30" s="1"/>
  <c r="C28" i="28" a="1"/>
  <c r="C28" i="28" s="1"/>
  <c r="C21" i="29" a="1"/>
  <c r="C21" i="29" s="1"/>
  <c r="C16" i="28" a="1"/>
  <c r="C16" i="28" s="1"/>
  <c r="D16" i="29" a="1"/>
  <c r="D16" i="29" s="1"/>
  <c r="E16" i="29" s="1"/>
  <c r="AC9" i="27"/>
  <c r="E30" i="30"/>
  <c r="E22" i="29"/>
  <c r="C12" i="28" a="1"/>
  <c r="C12" i="28" s="1"/>
  <c r="C9" i="28" a="1"/>
  <c r="C9" i="28" s="1"/>
  <c r="C8" i="28" a="1"/>
  <c r="C8" i="28" s="1"/>
  <c r="D12" i="28" a="1"/>
  <c r="D12" i="28" s="1"/>
  <c r="D10" i="28" a="1"/>
  <c r="D10" i="28" s="1"/>
  <c r="C7" i="28" a="1"/>
  <c r="C7" i="28" s="1"/>
  <c r="D9" i="28" a="1"/>
  <c r="D9" i="28" s="1"/>
  <c r="C5" i="28" a="1"/>
  <c r="C5" i="28" s="1"/>
  <c r="C11" i="28" a="1"/>
  <c r="C11" i="28" s="1"/>
  <c r="C6" i="28" a="1"/>
  <c r="C6" i="28" s="1"/>
  <c r="D13" i="28" a="1"/>
  <c r="D13" i="28" s="1"/>
  <c r="C10" i="28" a="1"/>
  <c r="C10" i="28" s="1"/>
  <c r="D5" i="28" a="1"/>
  <c r="D5" i="28" s="1"/>
  <c r="D7" i="28" a="1"/>
  <c r="D7" i="28" s="1"/>
  <c r="V9" i="27"/>
  <c r="E26" i="28"/>
  <c r="D11" i="28" a="1"/>
  <c r="D11" i="28" s="1"/>
  <c r="C13" i="28" a="1"/>
  <c r="C13" i="28" s="1"/>
  <c r="AO25" i="25"/>
  <c r="E31" i="28"/>
  <c r="D6" i="28" a="1"/>
  <c r="D6" i="28" s="1"/>
  <c r="Y9" i="27"/>
  <c r="AP19" i="27"/>
  <c r="Y13" i="27"/>
  <c r="AC13" i="27"/>
  <c r="AC11" i="27"/>
  <c r="O20" i="27"/>
  <c r="AQ20" i="27" s="1"/>
  <c r="AP20" i="27"/>
  <c r="AC12" i="27"/>
  <c r="L19" i="27"/>
  <c r="AA14" i="27"/>
  <c r="AJ20" i="27"/>
  <c r="U12" i="27"/>
  <c r="O21" i="27"/>
  <c r="AQ21" i="27" s="1"/>
  <c r="AS22" i="27"/>
  <c r="AO18" i="27"/>
  <c r="AI19" i="27"/>
  <c r="AJ21" i="27"/>
  <c r="AP18" i="27"/>
  <c r="I19" i="27"/>
  <c r="L21" i="27"/>
  <c r="AI20" i="27"/>
  <c r="V12" i="27"/>
  <c r="AS21" i="27"/>
  <c r="AO22" i="27"/>
  <c r="U9" i="27"/>
  <c r="AO19" i="27"/>
  <c r="AP22" i="27"/>
  <c r="AS25" i="26"/>
  <c r="AO19" i="26"/>
  <c r="O28" i="26"/>
  <c r="AQ28" i="26" s="1"/>
  <c r="I25" i="26"/>
  <c r="AK25" i="26" s="1"/>
  <c r="AI23" i="26"/>
  <c r="AL23" i="26" s="1"/>
  <c r="AC11" i="26"/>
  <c r="AC13" i="26"/>
  <c r="AC12" i="26"/>
  <c r="AB14" i="26"/>
  <c r="AA14" i="26"/>
  <c r="I26" i="26"/>
  <c r="AK26" i="26" s="1"/>
  <c r="AS23" i="26"/>
  <c r="V12" i="26"/>
  <c r="L26" i="26"/>
  <c r="L19" i="26"/>
  <c r="AM19" i="26" s="1"/>
  <c r="AO29" i="26"/>
  <c r="O19" i="26"/>
  <c r="AP27" i="26"/>
  <c r="AP29" i="26"/>
  <c r="L25" i="26"/>
  <c r="AM25" i="26" s="1"/>
  <c r="O21" i="26"/>
  <c r="AQ21" i="26" s="1"/>
  <c r="AI25" i="26"/>
  <c r="AS27" i="26"/>
  <c r="AC10" i="26"/>
  <c r="O27" i="26"/>
  <c r="AJ25" i="26"/>
  <c r="AO28" i="26"/>
  <c r="AI29" i="26"/>
  <c r="AL29" i="26" s="1"/>
  <c r="AS18" i="26"/>
  <c r="AO26" i="26"/>
  <c r="O20" i="26"/>
  <c r="AQ20" i="26" s="1"/>
  <c r="AS21" i="26"/>
  <c r="O22" i="26"/>
  <c r="AQ22" i="26" s="1"/>
  <c r="AP26" i="26"/>
  <c r="AS28" i="26"/>
  <c r="AS29" i="26"/>
  <c r="O26" i="26"/>
  <c r="AO27" i="26"/>
  <c r="O30" i="26"/>
  <c r="AQ30" i="26" s="1"/>
  <c r="AO25" i="26"/>
  <c r="O23" i="26"/>
  <c r="AP25" i="26"/>
  <c r="O24" i="26"/>
  <c r="AQ24" i="26" s="1"/>
  <c r="AJ18" i="26"/>
  <c r="AS20" i="26"/>
  <c r="AI21" i="26"/>
  <c r="AP23" i="26"/>
  <c r="AJ26" i="26"/>
  <c r="AL26" i="26" s="1"/>
  <c r="AI24" i="26"/>
  <c r="AL24" i="26" s="1"/>
  <c r="I23" i="26"/>
  <c r="I24" i="26"/>
  <c r="AO24" i="26"/>
  <c r="AS26" i="26"/>
  <c r="AO18" i="26"/>
  <c r="AP19" i="26"/>
  <c r="AS24" i="26"/>
  <c r="AO30" i="26"/>
  <c r="AS28" i="25"/>
  <c r="AL33" i="25"/>
  <c r="AP22" i="25"/>
  <c r="AO28" i="25"/>
  <c r="AO22" i="25"/>
  <c r="AC13" i="25"/>
  <c r="O19" i="25"/>
  <c r="AQ19" i="25" s="1"/>
  <c r="AC11" i="25"/>
  <c r="O31" i="25"/>
  <c r="AC12" i="25"/>
  <c r="AO21" i="25"/>
  <c r="AC10" i="25"/>
  <c r="I27" i="25"/>
  <c r="AC9" i="25"/>
  <c r="AT20" i="25"/>
  <c r="AP23" i="25"/>
  <c r="AS25" i="25"/>
  <c r="L23" i="25"/>
  <c r="AS27" i="25"/>
  <c r="I30" i="25"/>
  <c r="AK30" i="25" s="1"/>
  <c r="L30" i="25"/>
  <c r="AP20" i="25"/>
  <c r="AO23" i="25"/>
  <c r="AS22" i="25"/>
  <c r="AI30" i="25"/>
  <c r="I33" i="25"/>
  <c r="AK33" i="25" s="1"/>
  <c r="O29" i="25"/>
  <c r="AS31" i="25"/>
  <c r="AI29" i="25"/>
  <c r="AP32" i="25"/>
  <c r="AS21" i="25"/>
  <c r="AS29" i="25"/>
  <c r="AO32" i="25"/>
  <c r="AJ30" i="25"/>
  <c r="O34" i="25"/>
  <c r="AP19" i="25"/>
  <c r="O22" i="25"/>
  <c r="AS30" i="25"/>
  <c r="O21" i="25"/>
  <c r="AO20" i="25"/>
  <c r="AP31" i="25"/>
  <c r="AO34" i="25"/>
  <c r="I29" i="25"/>
  <c r="AS26" i="25"/>
  <c r="AO29" i="25"/>
  <c r="AO30" i="25"/>
  <c r="AO33" i="25"/>
  <c r="AP34" i="25"/>
  <c r="O28" i="25"/>
  <c r="O19" i="27"/>
  <c r="V10" i="27"/>
  <c r="AC10" i="27"/>
  <c r="AB14" i="27"/>
  <c r="U10" i="27"/>
  <c r="AJ22" i="27"/>
  <c r="AL22" i="27" s="1"/>
  <c r="AI21" i="27"/>
  <c r="U13" i="27"/>
  <c r="I22" i="27"/>
  <c r="AJ19" i="27"/>
  <c r="I20" i="27"/>
  <c r="AK20" i="27" s="1"/>
  <c r="V13" i="27"/>
  <c r="I21" i="27"/>
  <c r="L22" i="27"/>
  <c r="O22" i="27"/>
  <c r="O18" i="27"/>
  <c r="AQ18" i="27" s="1"/>
  <c r="L20" i="27"/>
  <c r="AJ21" i="26"/>
  <c r="I21" i="26"/>
  <c r="I18" i="26"/>
  <c r="O29" i="26"/>
  <c r="AO23" i="26"/>
  <c r="U12" i="26"/>
  <c r="L21" i="26"/>
  <c r="U13" i="26"/>
  <c r="AP20" i="26"/>
  <c r="AP24" i="26"/>
  <c r="O25" i="26"/>
  <c r="AC9" i="26"/>
  <c r="I29" i="26"/>
  <c r="AK29" i="26" s="1"/>
  <c r="O18" i="26"/>
  <c r="AO21" i="26"/>
  <c r="AP22" i="26"/>
  <c r="AJ29" i="25"/>
  <c r="O20" i="25"/>
  <c r="AP21" i="25"/>
  <c r="O32" i="25"/>
  <c r="L33" i="25"/>
  <c r="AM33" i="25" s="1"/>
  <c r="O30" i="25"/>
  <c r="O18" i="25"/>
  <c r="AQ18" i="25" s="1"/>
  <c r="AB14" i="25"/>
  <c r="O33" i="25"/>
  <c r="AQ33" i="25" s="1"/>
  <c r="O27" i="25"/>
  <c r="I23" i="25"/>
  <c r="AA14" i="25"/>
  <c r="O25" i="25"/>
  <c r="O26" i="25"/>
  <c r="AP33" i="25"/>
  <c r="I20" i="25"/>
  <c r="AJ27" i="25"/>
  <c r="O24" i="25"/>
  <c r="L27" i="25"/>
  <c r="AI27" i="25"/>
  <c r="AI23" i="25"/>
  <c r="O23" i="25"/>
  <c r="AT33" i="25"/>
  <c r="AP25" i="25"/>
  <c r="E18" i="6"/>
  <c r="E13" i="6"/>
  <c r="E10" i="6"/>
  <c r="E17" i="6"/>
  <c r="E19" i="6"/>
  <c r="E11" i="6"/>
  <c r="E21" i="6"/>
  <c r="E15" i="6"/>
  <c r="E9" i="6"/>
  <c r="E12" i="6"/>
  <c r="E7" i="6"/>
  <c r="E6" i="6"/>
  <c r="E20" i="6"/>
  <c r="E14" i="6"/>
  <c r="E16" i="6"/>
  <c r="AU135" i="18"/>
  <c r="AN620" i="18"/>
  <c r="AN621" i="18"/>
  <c r="AN622" i="18"/>
  <c r="AN623" i="18"/>
  <c r="AN624" i="18"/>
  <c r="AN625" i="18"/>
  <c r="AN626" i="18"/>
  <c r="AN627" i="18"/>
  <c r="AN628" i="18"/>
  <c r="AN629" i="18"/>
  <c r="AN630" i="18"/>
  <c r="AN631" i="18"/>
  <c r="AN632" i="18"/>
  <c r="AN633" i="18"/>
  <c r="AN634" i="18"/>
  <c r="AN635" i="18"/>
  <c r="AN636" i="18"/>
  <c r="AN637" i="18"/>
  <c r="AN638" i="18"/>
  <c r="AN639" i="18"/>
  <c r="AN640" i="18"/>
  <c r="AN641" i="18"/>
  <c r="AN642" i="18"/>
  <c r="AN643" i="18"/>
  <c r="AN644" i="18"/>
  <c r="AN645" i="18"/>
  <c r="AN646" i="18"/>
  <c r="AN647" i="18"/>
  <c r="AN591" i="18"/>
  <c r="AN592" i="18"/>
  <c r="AN593" i="18"/>
  <c r="AN594" i="18"/>
  <c r="AN595" i="18"/>
  <c r="AN596" i="18"/>
  <c r="AN597" i="18"/>
  <c r="AN598" i="18"/>
  <c r="AN599" i="18"/>
  <c r="AN600" i="18"/>
  <c r="AN601" i="18"/>
  <c r="AN602" i="18"/>
  <c r="AN603" i="18"/>
  <c r="AN604" i="18"/>
  <c r="AN605" i="18"/>
  <c r="AN606" i="18"/>
  <c r="AN607" i="18"/>
  <c r="AN608" i="18"/>
  <c r="AN609" i="18"/>
  <c r="AN610" i="18"/>
  <c r="AN611" i="18"/>
  <c r="AN612" i="18"/>
  <c r="AN613" i="18"/>
  <c r="AN614" i="18"/>
  <c r="AN615" i="18"/>
  <c r="AN616" i="18"/>
  <c r="AN617" i="18"/>
  <c r="AN618" i="18"/>
  <c r="AN619" i="18"/>
  <c r="AB859" i="18"/>
  <c r="AB860" i="18"/>
  <c r="AU134" i="18"/>
  <c r="AN565" i="18"/>
  <c r="AN566" i="18"/>
  <c r="AN567" i="18"/>
  <c r="AN568" i="18"/>
  <c r="AN569" i="18"/>
  <c r="AN570" i="18"/>
  <c r="AN571" i="18"/>
  <c r="AN572" i="18"/>
  <c r="AN573" i="18"/>
  <c r="AN574" i="18"/>
  <c r="AN575" i="18"/>
  <c r="AN576" i="18"/>
  <c r="AN577" i="18"/>
  <c r="AN578" i="18"/>
  <c r="AN579" i="18"/>
  <c r="AN580" i="18"/>
  <c r="AN581" i="18"/>
  <c r="AN582" i="18"/>
  <c r="AN583" i="18"/>
  <c r="AN584" i="18"/>
  <c r="AN585" i="18"/>
  <c r="AN586" i="18"/>
  <c r="AN587" i="18"/>
  <c r="AN588" i="18"/>
  <c r="AN589" i="18"/>
  <c r="AN590" i="18"/>
  <c r="AB856" i="18"/>
  <c r="AB857" i="18"/>
  <c r="AB858" i="18"/>
  <c r="AU133" i="18"/>
  <c r="AN536" i="18"/>
  <c r="AN537" i="18"/>
  <c r="AN538" i="18"/>
  <c r="AN539" i="18"/>
  <c r="AN540" i="18"/>
  <c r="AN541" i="18"/>
  <c r="AN542" i="18"/>
  <c r="AN543" i="18"/>
  <c r="AN544" i="18"/>
  <c r="AN545" i="18"/>
  <c r="AN546" i="18"/>
  <c r="AN547" i="18"/>
  <c r="AN548" i="18"/>
  <c r="AN549" i="18"/>
  <c r="AN550" i="18"/>
  <c r="AN551" i="18"/>
  <c r="AN552" i="18"/>
  <c r="AN553" i="18"/>
  <c r="AN554" i="18"/>
  <c r="AN555" i="18"/>
  <c r="AN556" i="18"/>
  <c r="AN557" i="18"/>
  <c r="AN558" i="18"/>
  <c r="AN559" i="18"/>
  <c r="AN560" i="18"/>
  <c r="AN561" i="18"/>
  <c r="AN562" i="18"/>
  <c r="AN563" i="18"/>
  <c r="AN564" i="18"/>
  <c r="AB855" i="18"/>
  <c r="AN510" i="18"/>
  <c r="AN511" i="18"/>
  <c r="AN512" i="18"/>
  <c r="AN513" i="18"/>
  <c r="AN514" i="18"/>
  <c r="AN515" i="18"/>
  <c r="AN516" i="18"/>
  <c r="AN517" i="18"/>
  <c r="AN518" i="18"/>
  <c r="AN519" i="18"/>
  <c r="AN520" i="18"/>
  <c r="AN521" i="18"/>
  <c r="AN522" i="18"/>
  <c r="AN523" i="18"/>
  <c r="AN524" i="18"/>
  <c r="AN525" i="18"/>
  <c r="AN526" i="18"/>
  <c r="AN527" i="18"/>
  <c r="AN528" i="18"/>
  <c r="AN529" i="18"/>
  <c r="AN530" i="18"/>
  <c r="AN531" i="18"/>
  <c r="AN532" i="18"/>
  <c r="AN533" i="18"/>
  <c r="AN534" i="18"/>
  <c r="AN535" i="18"/>
  <c r="AN480" i="18"/>
  <c r="AN481" i="18"/>
  <c r="AN482" i="18"/>
  <c r="AN483" i="18"/>
  <c r="AN484" i="18"/>
  <c r="AN485" i="18"/>
  <c r="AN486" i="18"/>
  <c r="AN487" i="18"/>
  <c r="AN488" i="18"/>
  <c r="AN489" i="18"/>
  <c r="AN490" i="18"/>
  <c r="AN491" i="18"/>
  <c r="AN492" i="18"/>
  <c r="AN493" i="18"/>
  <c r="AN494" i="18"/>
  <c r="AN495" i="18"/>
  <c r="AN496" i="18"/>
  <c r="AN497" i="18"/>
  <c r="AN498" i="18"/>
  <c r="AN499" i="18"/>
  <c r="AN500" i="18"/>
  <c r="AN501" i="18"/>
  <c r="AN502" i="18"/>
  <c r="AN503" i="18"/>
  <c r="AN504" i="18"/>
  <c r="AN505" i="18"/>
  <c r="AN506" i="18"/>
  <c r="AN507" i="18"/>
  <c r="AN508" i="18"/>
  <c r="AN509" i="18"/>
  <c r="AU131" i="18"/>
  <c r="AU132" i="18"/>
  <c r="AN451" i="18"/>
  <c r="AN452" i="18"/>
  <c r="AN453" i="18"/>
  <c r="AN454" i="18"/>
  <c r="AN455" i="18"/>
  <c r="AN456" i="18"/>
  <c r="AN457" i="18"/>
  <c r="AN458" i="18"/>
  <c r="AN459" i="18"/>
  <c r="AN460" i="18"/>
  <c r="AN461" i="18"/>
  <c r="AN462" i="18"/>
  <c r="AN463" i="18"/>
  <c r="AN464" i="18"/>
  <c r="AN465" i="18"/>
  <c r="AN466" i="18"/>
  <c r="AN467" i="18"/>
  <c r="AN468" i="18"/>
  <c r="AN469" i="18"/>
  <c r="AN470" i="18"/>
  <c r="AN471" i="18"/>
  <c r="AN472" i="18"/>
  <c r="AN473" i="18"/>
  <c r="AN474" i="18"/>
  <c r="AN475" i="18"/>
  <c r="AN476" i="18"/>
  <c r="AN477" i="18"/>
  <c r="AN478" i="18"/>
  <c r="AN479" i="18"/>
  <c r="L35" i="24"/>
  <c r="K35" i="24"/>
  <c r="F10" i="24"/>
  <c r="F11" i="24"/>
  <c r="F12" i="24"/>
  <c r="F13" i="24"/>
  <c r="F14" i="24"/>
  <c r="F15" i="24"/>
  <c r="F16" i="24"/>
  <c r="F17" i="24"/>
  <c r="F18" i="24"/>
  <c r="F19" i="24"/>
  <c r="F20" i="24"/>
  <c r="F21" i="24"/>
  <c r="F22" i="24"/>
  <c r="F23" i="24"/>
  <c r="F24" i="24"/>
  <c r="F25" i="24"/>
  <c r="F26" i="24"/>
  <c r="F27" i="24"/>
  <c r="F28" i="24"/>
  <c r="F29" i="24"/>
  <c r="F30" i="24"/>
  <c r="F31" i="24"/>
  <c r="F32" i="24"/>
  <c r="F33" i="24"/>
  <c r="F34" i="24"/>
  <c r="F35" i="24"/>
  <c r="F9" i="24"/>
  <c r="E10" i="24"/>
  <c r="E11" i="24"/>
  <c r="E12" i="24"/>
  <c r="E13" i="24"/>
  <c r="E14" i="24"/>
  <c r="E15" i="24"/>
  <c r="E16" i="24"/>
  <c r="E17" i="24"/>
  <c r="E18" i="24"/>
  <c r="E19" i="24"/>
  <c r="E20" i="24"/>
  <c r="E21" i="24"/>
  <c r="E22" i="24"/>
  <c r="E23" i="24"/>
  <c r="E24" i="24"/>
  <c r="E25" i="24"/>
  <c r="E26" i="24"/>
  <c r="E27" i="24"/>
  <c r="E28" i="24"/>
  <c r="E29" i="24"/>
  <c r="E30" i="24"/>
  <c r="E31" i="24"/>
  <c r="E32" i="24"/>
  <c r="E33" i="24"/>
  <c r="E34" i="24"/>
  <c r="E35" i="24"/>
  <c r="E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G35" i="24" s="1"/>
  <c r="D9" i="24"/>
  <c r="I24" i="24"/>
  <c r="I25" i="24" s="1"/>
  <c r="I26" i="24" s="1"/>
  <c r="I27" i="24" s="1"/>
  <c r="I28" i="24" s="1"/>
  <c r="I29" i="24" s="1"/>
  <c r="I30" i="24" s="1"/>
  <c r="I31" i="24" s="1"/>
  <c r="I32" i="24" s="1"/>
  <c r="I33" i="24" s="1"/>
  <c r="I34" i="24" s="1"/>
  <c r="I35" i="24" s="1"/>
  <c r="B24" i="24"/>
  <c r="B25" i="24" s="1"/>
  <c r="B26" i="24" s="1"/>
  <c r="B27" i="24" s="1"/>
  <c r="B28" i="24" s="1"/>
  <c r="B29" i="24" s="1"/>
  <c r="B30" i="24" s="1"/>
  <c r="B31" i="24" s="1"/>
  <c r="B32" i="24" s="1"/>
  <c r="B33" i="24" s="1"/>
  <c r="B34" i="24" s="1"/>
  <c r="B35" i="24" s="1"/>
  <c r="K28" i="32" l="1"/>
  <c r="J22" i="32"/>
  <c r="M23" i="32"/>
  <c r="O23" i="32" s="1"/>
  <c r="J25" i="32"/>
  <c r="J26" i="32"/>
  <c r="M22" i="32"/>
  <c r="O22" i="32" s="1"/>
  <c r="K29" i="32"/>
  <c r="M29" i="32"/>
  <c r="O29" i="32" s="1"/>
  <c r="J29" i="32"/>
  <c r="J27" i="32"/>
  <c r="M31" i="32"/>
  <c r="O31" i="32" s="1"/>
  <c r="L23" i="32"/>
  <c r="M24" i="32"/>
  <c r="O24" i="32" s="1"/>
  <c r="L30" i="32"/>
  <c r="M26" i="32"/>
  <c r="O26" i="32" s="1"/>
  <c r="L26" i="32"/>
  <c r="K26" i="32"/>
  <c r="M27" i="32"/>
  <c r="O27" i="32" s="1"/>
  <c r="K27" i="32"/>
  <c r="K30" i="32"/>
  <c r="L22" i="32"/>
  <c r="L27" i="32"/>
  <c r="P27" i="32" s="1"/>
  <c r="L29" i="32"/>
  <c r="P29" i="32" s="1"/>
  <c r="J28" i="32"/>
  <c r="J23" i="32"/>
  <c r="K22" i="32"/>
  <c r="L25" i="32"/>
  <c r="M25" i="32"/>
  <c r="O25" i="32" s="1"/>
  <c r="L24" i="32"/>
  <c r="K24" i="32"/>
  <c r="K31" i="32"/>
  <c r="P31" i="32" s="1"/>
  <c r="L28" i="32"/>
  <c r="P28" i="32" s="1"/>
  <c r="M28" i="32"/>
  <c r="O28" i="32" s="1"/>
  <c r="K25" i="32"/>
  <c r="K23" i="32"/>
  <c r="J24" i="32"/>
  <c r="L13" i="32"/>
  <c r="K12" i="32"/>
  <c r="M9" i="32"/>
  <c r="O9" i="32" s="1"/>
  <c r="K9" i="32"/>
  <c r="J14" i="32"/>
  <c r="K13" i="32"/>
  <c r="J8" i="32"/>
  <c r="L12" i="32"/>
  <c r="P12" i="32" s="1"/>
  <c r="K6" i="32"/>
  <c r="P6" i="32" s="1"/>
  <c r="L10" i="32"/>
  <c r="P10" i="32" s="1"/>
  <c r="K11" i="32"/>
  <c r="K10" i="32"/>
  <c r="L5" i="32"/>
  <c r="M11" i="32"/>
  <c r="O11" i="32" s="1"/>
  <c r="M10" i="32"/>
  <c r="O10" i="32" s="1"/>
  <c r="J5" i="32"/>
  <c r="M8" i="32"/>
  <c r="O8" i="32" s="1"/>
  <c r="M5" i="32"/>
  <c r="O5" i="32" s="1"/>
  <c r="K8" i="32"/>
  <c r="P8" i="32" s="1"/>
  <c r="J12" i="32"/>
  <c r="K14" i="32"/>
  <c r="J6" i="32"/>
  <c r="J7" i="32"/>
  <c r="L9" i="32"/>
  <c r="J9" i="32"/>
  <c r="M12" i="32"/>
  <c r="O12" i="32" s="1"/>
  <c r="J11" i="32"/>
  <c r="M14" i="32"/>
  <c r="O14" i="32" s="1"/>
  <c r="L6" i="32"/>
  <c r="M7" i="32"/>
  <c r="O7" i="32" s="1"/>
  <c r="L8" i="32"/>
  <c r="M13" i="32"/>
  <c r="O13" i="32" s="1"/>
  <c r="M6" i="32"/>
  <c r="O6" i="32" s="1"/>
  <c r="J10" i="32"/>
  <c r="L11" i="32"/>
  <c r="L14" i="32"/>
  <c r="P5" i="32"/>
  <c r="P7" i="32"/>
  <c r="P13" i="32"/>
  <c r="F6" i="29"/>
  <c r="E9" i="30"/>
  <c r="I19" i="26"/>
  <c r="AK19" i="26" s="1"/>
  <c r="AN19" i="26" s="1"/>
  <c r="E21" i="30"/>
  <c r="E26" i="29"/>
  <c r="E19" i="29"/>
  <c r="E28" i="29"/>
  <c r="E28" i="30"/>
  <c r="E27" i="30"/>
  <c r="J29" i="6"/>
  <c r="E31" i="30"/>
  <c r="P26" i="31"/>
  <c r="U26" i="31" s="1"/>
  <c r="E24" i="30"/>
  <c r="E23" i="30"/>
  <c r="E32" i="28"/>
  <c r="E20" i="29"/>
  <c r="E22" i="28"/>
  <c r="E21" i="29"/>
  <c r="E29" i="28"/>
  <c r="E25" i="29"/>
  <c r="E29" i="30"/>
  <c r="J33" i="6"/>
  <c r="L29" i="6"/>
  <c r="K29" i="6"/>
  <c r="P29" i="6" s="1"/>
  <c r="J30" i="6"/>
  <c r="M29" i="6"/>
  <c r="O29" i="6" s="1"/>
  <c r="J44" i="6"/>
  <c r="J42" i="6"/>
  <c r="K33" i="6"/>
  <c r="M44" i="6"/>
  <c r="O44" i="6" s="1"/>
  <c r="K31" i="6"/>
  <c r="M42" i="6"/>
  <c r="O42" i="6" s="1"/>
  <c r="L42" i="6"/>
  <c r="L38" i="6"/>
  <c r="K43" i="6"/>
  <c r="J38" i="6"/>
  <c r="M32" i="6"/>
  <c r="O32" i="6" s="1"/>
  <c r="K41" i="6"/>
  <c r="L34" i="6"/>
  <c r="K36" i="6"/>
  <c r="L45" i="6"/>
  <c r="J36" i="6"/>
  <c r="J31" i="6"/>
  <c r="L44" i="6"/>
  <c r="M40" i="6"/>
  <c r="O40" i="6" s="1"/>
  <c r="M36" i="6"/>
  <c r="O36" i="6" s="1"/>
  <c r="K40" i="6"/>
  <c r="M31" i="6"/>
  <c r="O31" i="6" s="1"/>
  <c r="M30" i="6"/>
  <c r="O30" i="6" s="1"/>
  <c r="J39" i="6"/>
  <c r="L32" i="6"/>
  <c r="K34" i="6"/>
  <c r="P34" i="6" s="1"/>
  <c r="L43" i="6"/>
  <c r="J34" i="6"/>
  <c r="J43" i="6"/>
  <c r="J41" i="6"/>
  <c r="L35" i="6"/>
  <c r="M37" i="6"/>
  <c r="O37" i="6" s="1"/>
  <c r="L31" i="6"/>
  <c r="K42" i="6"/>
  <c r="K45" i="6"/>
  <c r="M33" i="6"/>
  <c r="O33" i="6" s="1"/>
  <c r="K38" i="6"/>
  <c r="M45" i="6"/>
  <c r="O45" i="6" s="1"/>
  <c r="J37" i="6"/>
  <c r="L30" i="6"/>
  <c r="K32" i="6"/>
  <c r="P32" i="6" s="1"/>
  <c r="L41" i="6"/>
  <c r="J32" i="6"/>
  <c r="M41" i="6"/>
  <c r="O41" i="6" s="1"/>
  <c r="K37" i="6"/>
  <c r="L39" i="6"/>
  <c r="K35" i="6"/>
  <c r="L37" i="6"/>
  <c r="J40" i="6"/>
  <c r="M39" i="6"/>
  <c r="O39" i="6" s="1"/>
  <c r="L33" i="6"/>
  <c r="K44" i="6"/>
  <c r="M38" i="6"/>
  <c r="O38" i="6" s="1"/>
  <c r="M35" i="6"/>
  <c r="O35" i="6" s="1"/>
  <c r="L40" i="6"/>
  <c r="M34" i="6"/>
  <c r="O34" i="6" s="1"/>
  <c r="L36" i="6"/>
  <c r="M43" i="6"/>
  <c r="O43" i="6" s="1"/>
  <c r="J35" i="6"/>
  <c r="J45" i="6"/>
  <c r="K30" i="6"/>
  <c r="K39" i="6"/>
  <c r="S27" i="31"/>
  <c r="R21" i="31"/>
  <c r="S23" i="31"/>
  <c r="P21" i="31"/>
  <c r="U21" i="31" s="1"/>
  <c r="P25" i="31"/>
  <c r="U25" i="31" s="1"/>
  <c r="N23" i="31"/>
  <c r="P22" i="31"/>
  <c r="U22" i="31" s="1"/>
  <c r="Q23" i="31"/>
  <c r="P27" i="31"/>
  <c r="U27" i="31" s="1"/>
  <c r="N24" i="31"/>
  <c r="M29" i="31"/>
  <c r="Q24" i="31"/>
  <c r="S22" i="31"/>
  <c r="P23" i="31"/>
  <c r="U23" i="31" s="1"/>
  <c r="S26" i="31"/>
  <c r="Q25" i="31"/>
  <c r="Q22" i="31"/>
  <c r="M21" i="31"/>
  <c r="M28" i="31"/>
  <c r="Q29" i="31"/>
  <c r="M25" i="31"/>
  <c r="M22" i="31"/>
  <c r="N21" i="31"/>
  <c r="Q26" i="31"/>
  <c r="R29" i="31"/>
  <c r="S21" i="31"/>
  <c r="O27" i="31"/>
  <c r="R27" i="31"/>
  <c r="O25" i="31"/>
  <c r="S28" i="31"/>
  <c r="N22" i="31"/>
  <c r="N25" i="31"/>
  <c r="P24" i="31"/>
  <c r="U24" i="31" s="1"/>
  <c r="O26" i="31"/>
  <c r="R23" i="31"/>
  <c r="N27" i="31"/>
  <c r="M24" i="31"/>
  <c r="P28" i="31"/>
  <c r="U28" i="31" s="1"/>
  <c r="S24" i="31"/>
  <c r="N29" i="31"/>
  <c r="O24" i="31"/>
  <c r="O21" i="31"/>
  <c r="O29" i="31"/>
  <c r="R25" i="31"/>
  <c r="Q21" i="31"/>
  <c r="Q27" i="31"/>
  <c r="Q28" i="31"/>
  <c r="P29" i="31"/>
  <c r="U29" i="31" s="1"/>
  <c r="M23" i="31"/>
  <c r="S29" i="31"/>
  <c r="M26" i="31"/>
  <c r="N26" i="31"/>
  <c r="M27" i="31"/>
  <c r="R26" i="31"/>
  <c r="N28" i="31"/>
  <c r="O28" i="31"/>
  <c r="R24" i="31"/>
  <c r="S25" i="31"/>
  <c r="R22" i="31"/>
  <c r="O23" i="31"/>
  <c r="O22" i="31"/>
  <c r="R28" i="31"/>
  <c r="Q10" i="31"/>
  <c r="S8" i="31"/>
  <c r="M11" i="31"/>
  <c r="AT19" i="26"/>
  <c r="V13" i="26"/>
  <c r="W13" i="26" s="1"/>
  <c r="M9" i="31"/>
  <c r="I32" i="25"/>
  <c r="AK32" i="25" s="1"/>
  <c r="O5" i="31"/>
  <c r="O8" i="31"/>
  <c r="E11" i="30"/>
  <c r="H11" i="30" s="1"/>
  <c r="F11" i="30"/>
  <c r="E10" i="29"/>
  <c r="S7" i="31"/>
  <c r="E12" i="30"/>
  <c r="H12" i="30" s="1"/>
  <c r="M7" i="31"/>
  <c r="E11" i="29"/>
  <c r="H11" i="29" s="1"/>
  <c r="E9" i="29"/>
  <c r="H9" i="29" s="1"/>
  <c r="Q9" i="31"/>
  <c r="Q11" i="31"/>
  <c r="M10" i="31"/>
  <c r="M12" i="31"/>
  <c r="R8" i="31"/>
  <c r="N9" i="31"/>
  <c r="R6" i="31"/>
  <c r="F10" i="29"/>
  <c r="O9" i="31"/>
  <c r="Q12" i="31"/>
  <c r="N7" i="31"/>
  <c r="Q13" i="31"/>
  <c r="S13" i="31"/>
  <c r="S11" i="31"/>
  <c r="P6" i="31"/>
  <c r="U6" i="31" s="1"/>
  <c r="M13" i="31"/>
  <c r="S6" i="31"/>
  <c r="N6" i="31"/>
  <c r="P5" i="31"/>
  <c r="U5" i="31" s="1"/>
  <c r="O12" i="31"/>
  <c r="F12" i="30"/>
  <c r="P9" i="31"/>
  <c r="U9" i="31" s="1"/>
  <c r="R12" i="31"/>
  <c r="S12" i="31"/>
  <c r="N5" i="31"/>
  <c r="V5" i="31" s="1"/>
  <c r="P8" i="31"/>
  <c r="U8" i="31" s="1"/>
  <c r="P12" i="31"/>
  <c r="U12" i="31" s="1"/>
  <c r="N13" i="31"/>
  <c r="O13" i="31"/>
  <c r="R13" i="31"/>
  <c r="P11" i="31"/>
  <c r="U11" i="31" s="1"/>
  <c r="F12" i="28"/>
  <c r="R11" i="31"/>
  <c r="R9" i="31"/>
  <c r="P7" i="31"/>
  <c r="U7" i="31" s="1"/>
  <c r="R5" i="31"/>
  <c r="S10" i="31"/>
  <c r="N12" i="31"/>
  <c r="N10" i="31"/>
  <c r="P10" i="31"/>
  <c r="U10" i="31" s="1"/>
  <c r="R7" i="31"/>
  <c r="O11" i="31"/>
  <c r="S5" i="31"/>
  <c r="O7" i="31"/>
  <c r="P13" i="31"/>
  <c r="U13" i="31" s="1"/>
  <c r="N8" i="31"/>
  <c r="Q5" i="31"/>
  <c r="E6" i="29"/>
  <c r="H6" i="29" s="1"/>
  <c r="O6" i="31"/>
  <c r="S9" i="31"/>
  <c r="M5" i="31"/>
  <c r="R10" i="31"/>
  <c r="M6" i="31"/>
  <c r="Q6" i="31"/>
  <c r="O10" i="31"/>
  <c r="Q7" i="31"/>
  <c r="N11" i="31"/>
  <c r="Q8" i="31"/>
  <c r="W9" i="27"/>
  <c r="Z9" i="27" s="1"/>
  <c r="H9" i="30"/>
  <c r="F5" i="30"/>
  <c r="H10" i="29"/>
  <c r="F13" i="29"/>
  <c r="F6" i="30"/>
  <c r="E10" i="30"/>
  <c r="F9" i="30"/>
  <c r="F10" i="28"/>
  <c r="E5" i="29"/>
  <c r="F11" i="29"/>
  <c r="E12" i="29"/>
  <c r="F8" i="29"/>
  <c r="E31" i="29"/>
  <c r="E29" i="29"/>
  <c r="I23" i="29" s="1"/>
  <c r="E16" i="28"/>
  <c r="I25" i="28" s="1"/>
  <c r="E26" i="30"/>
  <c r="E18" i="28"/>
  <c r="E27" i="29"/>
  <c r="I26" i="29" s="1"/>
  <c r="E24" i="29"/>
  <c r="E16" i="30"/>
  <c r="E19" i="28"/>
  <c r="E30" i="29"/>
  <c r="E18" i="30"/>
  <c r="E13" i="29"/>
  <c r="F10" i="30"/>
  <c r="F12" i="29"/>
  <c r="E7" i="29"/>
  <c r="E9" i="28"/>
  <c r="E8" i="29"/>
  <c r="F13" i="30"/>
  <c r="E7" i="28"/>
  <c r="E8" i="30"/>
  <c r="E11" i="28"/>
  <c r="E12" i="28"/>
  <c r="F7" i="29"/>
  <c r="E6" i="30"/>
  <c r="E5" i="30"/>
  <c r="F9" i="29"/>
  <c r="E10" i="28"/>
  <c r="F9" i="28"/>
  <c r="E7" i="30"/>
  <c r="E13" i="30"/>
  <c r="F8" i="28"/>
  <c r="F8" i="30"/>
  <c r="E32" i="30"/>
  <c r="E25" i="30"/>
  <c r="AT25" i="26"/>
  <c r="I31" i="29"/>
  <c r="I30" i="29"/>
  <c r="F6" i="28"/>
  <c r="E8" i="28"/>
  <c r="F7" i="28"/>
  <c r="F13" i="28"/>
  <c r="F5" i="28"/>
  <c r="F11" i="28"/>
  <c r="I23" i="28"/>
  <c r="AC14" i="27"/>
  <c r="E5" i="28"/>
  <c r="E13" i="28"/>
  <c r="E6" i="28"/>
  <c r="X9" i="27"/>
  <c r="AQ19" i="27"/>
  <c r="AM19" i="27"/>
  <c r="X12" i="27"/>
  <c r="W10" i="27"/>
  <c r="Z10" i="27" s="1"/>
  <c r="AT19" i="27"/>
  <c r="AM22" i="27"/>
  <c r="AL20" i="27"/>
  <c r="AT20" i="27"/>
  <c r="W13" i="27"/>
  <c r="Z13" i="27" s="1"/>
  <c r="AM21" i="27"/>
  <c r="W12" i="27"/>
  <c r="Z12" i="27" s="1"/>
  <c r="AM20" i="27"/>
  <c r="AN20" i="27" s="1"/>
  <c r="AQ22" i="27"/>
  <c r="AM26" i="26"/>
  <c r="AN26" i="26" s="1"/>
  <c r="AT24" i="26"/>
  <c r="AT18" i="26"/>
  <c r="AN25" i="26"/>
  <c r="AQ29" i="26"/>
  <c r="AM21" i="26"/>
  <c r="AL18" i="26"/>
  <c r="AC14" i="26"/>
  <c r="AQ19" i="26"/>
  <c r="AT23" i="26"/>
  <c r="AL21" i="26"/>
  <c r="AQ27" i="26"/>
  <c r="X12" i="26"/>
  <c r="AL25" i="26"/>
  <c r="AT21" i="26"/>
  <c r="AQ26" i="26"/>
  <c r="AQ23" i="26"/>
  <c r="AT26" i="26"/>
  <c r="AQ25" i="26"/>
  <c r="AK24" i="26"/>
  <c r="AT29" i="26"/>
  <c r="AQ18" i="26"/>
  <c r="AK18" i="26"/>
  <c r="AC14" i="25"/>
  <c r="AM23" i="25"/>
  <c r="AN33" i="25"/>
  <c r="AM30" i="25"/>
  <c r="AN30" i="25" s="1"/>
  <c r="AT30" i="25"/>
  <c r="AQ31" i="25"/>
  <c r="AM27" i="25"/>
  <c r="AQ32" i="25"/>
  <c r="AQ30" i="25"/>
  <c r="AQ28" i="25"/>
  <c r="AQ27" i="25"/>
  <c r="AQ22" i="25"/>
  <c r="AQ20" i="25"/>
  <c r="AL32" i="25"/>
  <c r="AT32" i="25"/>
  <c r="AQ29" i="25"/>
  <c r="AK23" i="25"/>
  <c r="AQ21" i="25"/>
  <c r="AQ24" i="25"/>
  <c r="AQ23" i="25"/>
  <c r="AQ34" i="25"/>
  <c r="AL30" i="25"/>
  <c r="AL29" i="25"/>
  <c r="AQ25" i="25"/>
  <c r="AK20" i="25"/>
  <c r="AQ26" i="25"/>
  <c r="AK21" i="27"/>
  <c r="AK22" i="27"/>
  <c r="AL19" i="27"/>
  <c r="AK19" i="27"/>
  <c r="AL21" i="27"/>
  <c r="AT21" i="27"/>
  <c r="AT22" i="27"/>
  <c r="X10" i="27"/>
  <c r="X13" i="27"/>
  <c r="AK23" i="26"/>
  <c r="W12" i="26"/>
  <c r="AK21" i="26"/>
  <c r="AK27" i="25"/>
  <c r="AK29" i="25"/>
  <c r="AT29" i="25"/>
  <c r="AL23" i="25"/>
  <c r="AT23" i="25"/>
  <c r="AT27" i="25"/>
  <c r="AL27" i="25"/>
  <c r="G33" i="24"/>
  <c r="G34" i="24"/>
  <c r="G32" i="24"/>
  <c r="G31" i="24"/>
  <c r="G30" i="24"/>
  <c r="G29" i="24"/>
  <c r="G28" i="24"/>
  <c r="G27" i="24"/>
  <c r="G26" i="24"/>
  <c r="G24" i="24"/>
  <c r="G16" i="24"/>
  <c r="G14" i="24"/>
  <c r="G15" i="24"/>
  <c r="G11" i="24"/>
  <c r="G10" i="24"/>
  <c r="G22" i="24"/>
  <c r="G21" i="24"/>
  <c r="G18" i="24"/>
  <c r="G25" i="24"/>
  <c r="G13" i="24"/>
  <c r="G17" i="24"/>
  <c r="G20" i="24"/>
  <c r="G19" i="24"/>
  <c r="G12" i="24"/>
  <c r="G23" i="24"/>
  <c r="G9" i="24"/>
  <c r="AN424" i="18"/>
  <c r="AN425" i="18"/>
  <c r="AN426" i="18"/>
  <c r="AN427" i="18"/>
  <c r="AN428" i="18"/>
  <c r="AN429" i="18"/>
  <c r="AN430" i="18"/>
  <c r="AN431" i="18"/>
  <c r="AN432" i="18"/>
  <c r="AN433" i="18"/>
  <c r="AN434" i="18"/>
  <c r="AN435" i="18"/>
  <c r="AN436" i="18"/>
  <c r="AN437" i="18"/>
  <c r="AN438" i="18"/>
  <c r="AN439" i="18"/>
  <c r="AN440" i="18"/>
  <c r="AN441" i="18"/>
  <c r="AN442" i="18"/>
  <c r="AN443" i="18"/>
  <c r="AN444" i="18"/>
  <c r="AN445" i="18"/>
  <c r="AN446" i="18"/>
  <c r="AN447" i="18"/>
  <c r="AN448" i="18"/>
  <c r="AN449" i="18"/>
  <c r="AN450" i="18"/>
  <c r="AU129" i="18"/>
  <c r="AU130" i="18"/>
  <c r="AB854" i="18"/>
  <c r="AU127" i="18"/>
  <c r="AU128" i="18"/>
  <c r="AN393" i="18"/>
  <c r="AN394" i="18"/>
  <c r="AN395" i="18"/>
  <c r="AN396" i="18"/>
  <c r="AN397" i="18"/>
  <c r="AN398" i="18"/>
  <c r="AN399" i="18"/>
  <c r="AN400" i="18"/>
  <c r="AN401" i="18"/>
  <c r="AN402" i="18"/>
  <c r="AN403" i="18"/>
  <c r="AN404" i="18"/>
  <c r="AN405" i="18"/>
  <c r="AN406" i="18"/>
  <c r="AN407" i="18"/>
  <c r="AN408" i="18"/>
  <c r="AN409" i="18"/>
  <c r="AN410" i="18"/>
  <c r="AN411" i="18"/>
  <c r="AN412" i="18"/>
  <c r="AN413" i="18"/>
  <c r="AN414" i="18"/>
  <c r="AN415" i="18"/>
  <c r="AN416" i="18"/>
  <c r="AN417" i="18"/>
  <c r="AN418" i="18"/>
  <c r="AN419" i="18"/>
  <c r="AN420" i="18"/>
  <c r="AN421" i="18"/>
  <c r="AN422" i="18"/>
  <c r="AN423" i="18"/>
  <c r="AB853" i="18"/>
  <c r="AU124" i="18"/>
  <c r="AU125" i="18"/>
  <c r="AU126" i="18"/>
  <c r="AN392" i="18"/>
  <c r="AN361" i="18"/>
  <c r="AN362" i="18"/>
  <c r="AN363" i="18"/>
  <c r="AN364" i="18"/>
  <c r="AN365" i="18"/>
  <c r="AN366" i="18"/>
  <c r="AN367" i="18"/>
  <c r="AN368" i="18"/>
  <c r="AN369" i="18"/>
  <c r="AN370" i="18"/>
  <c r="AN371" i="18"/>
  <c r="AN372" i="18"/>
  <c r="AN373" i="18"/>
  <c r="AN374" i="18"/>
  <c r="AN375" i="18"/>
  <c r="AN376" i="18"/>
  <c r="AN377" i="18"/>
  <c r="AN378" i="18"/>
  <c r="AN379" i="18"/>
  <c r="AN380" i="18"/>
  <c r="AN381" i="18"/>
  <c r="AN382" i="18"/>
  <c r="AN383" i="18"/>
  <c r="AN384" i="18"/>
  <c r="AN385" i="18"/>
  <c r="AN386" i="18"/>
  <c r="AN387" i="18"/>
  <c r="AN388" i="18"/>
  <c r="AN389" i="18"/>
  <c r="AN390" i="18"/>
  <c r="AN391" i="18"/>
  <c r="Z9" i="23"/>
  <c r="Y9" i="23"/>
  <c r="X9" i="23"/>
  <c r="W9" i="23"/>
  <c r="V9" i="23"/>
  <c r="Z8" i="23"/>
  <c r="Y8" i="23"/>
  <c r="X8" i="23"/>
  <c r="W8" i="23"/>
  <c r="V8" i="23"/>
  <c r="Z7" i="23"/>
  <c r="Y7" i="23"/>
  <c r="X7" i="23"/>
  <c r="W7" i="23"/>
  <c r="V7" i="23"/>
  <c r="Z6" i="23"/>
  <c r="Y6" i="23"/>
  <c r="X6" i="23"/>
  <c r="W6" i="23"/>
  <c r="V6" i="23"/>
  <c r="Z5" i="23"/>
  <c r="Y5" i="23"/>
  <c r="X5" i="23"/>
  <c r="W5" i="23"/>
  <c r="V5" i="23"/>
  <c r="AU123" i="18"/>
  <c r="AN330" i="18"/>
  <c r="AN331" i="18"/>
  <c r="AN332" i="18"/>
  <c r="AN333" i="18"/>
  <c r="AN334" i="18"/>
  <c r="AN335" i="18"/>
  <c r="AN336" i="18"/>
  <c r="AN337" i="18"/>
  <c r="AN338" i="18"/>
  <c r="AN339" i="18"/>
  <c r="AN340" i="18"/>
  <c r="AN341" i="18"/>
  <c r="AN342" i="18"/>
  <c r="AN343" i="18"/>
  <c r="AN344" i="18"/>
  <c r="AN345" i="18"/>
  <c r="AN346" i="18"/>
  <c r="AN347" i="18"/>
  <c r="AN348" i="18"/>
  <c r="AN349" i="18"/>
  <c r="AN350" i="18"/>
  <c r="AN351" i="18"/>
  <c r="AN352" i="18"/>
  <c r="AN353" i="18"/>
  <c r="AN354" i="18"/>
  <c r="AN355" i="18"/>
  <c r="AN356" i="18"/>
  <c r="AN357" i="18"/>
  <c r="AN358" i="18"/>
  <c r="AN359" i="18"/>
  <c r="AN360" i="18"/>
  <c r="AB845" i="18"/>
  <c r="AB846" i="18"/>
  <c r="AB847" i="18"/>
  <c r="AB848" i="18"/>
  <c r="AB849" i="18"/>
  <c r="AB850" i="18"/>
  <c r="AB851" i="18"/>
  <c r="AB852" i="18"/>
  <c r="AB842" i="18"/>
  <c r="AB843" i="18"/>
  <c r="AB844" i="18"/>
  <c r="P10" i="23"/>
  <c r="Q10" i="23" s="1"/>
  <c r="P6" i="23"/>
  <c r="Q6" i="23" s="1"/>
  <c r="P7" i="23"/>
  <c r="Q7" i="23" s="1"/>
  <c r="P8" i="23"/>
  <c r="S8" i="23" s="1"/>
  <c r="P9" i="23"/>
  <c r="Q9" i="23" s="1"/>
  <c r="P5" i="23"/>
  <c r="U5" i="23" s="1"/>
  <c r="E15" i="23"/>
  <c r="F15" i="23" s="1"/>
  <c r="E16" i="23"/>
  <c r="J16" i="23" s="1"/>
  <c r="E17" i="23"/>
  <c r="F17" i="23" s="1"/>
  <c r="E18" i="23"/>
  <c r="F18" i="23" s="1"/>
  <c r="E19" i="23"/>
  <c r="F19" i="23" s="1"/>
  <c r="E20" i="23"/>
  <c r="H20" i="23" s="1"/>
  <c r="E21" i="23"/>
  <c r="F21" i="23" s="1"/>
  <c r="E22" i="23"/>
  <c r="F22" i="23" s="1"/>
  <c r="E23" i="23"/>
  <c r="F23" i="23" s="1"/>
  <c r="E24" i="23"/>
  <c r="F24" i="23" s="1"/>
  <c r="E25" i="23"/>
  <c r="F25" i="23" s="1"/>
  <c r="E26" i="23"/>
  <c r="I26" i="23" s="1"/>
  <c r="E27" i="23"/>
  <c r="F27" i="23" s="1"/>
  <c r="E28" i="23"/>
  <c r="F28" i="23" s="1"/>
  <c r="E29" i="23"/>
  <c r="F29" i="23" s="1"/>
  <c r="E30" i="23"/>
  <c r="I30" i="23" s="1"/>
  <c r="E31" i="23"/>
  <c r="F31" i="23" s="1"/>
  <c r="E32" i="23"/>
  <c r="F32" i="23" s="1"/>
  <c r="E33" i="23"/>
  <c r="F33" i="23" s="1"/>
  <c r="E34" i="23"/>
  <c r="F34" i="23" s="1"/>
  <c r="E35" i="23"/>
  <c r="F35" i="23" s="1"/>
  <c r="E36" i="23"/>
  <c r="J36" i="23" s="1"/>
  <c r="E37" i="23"/>
  <c r="F37" i="23" s="1"/>
  <c r="E38" i="23"/>
  <c r="F38" i="23" s="1"/>
  <c r="E39" i="23"/>
  <c r="F39" i="23" s="1"/>
  <c r="E40" i="23"/>
  <c r="J40" i="23" s="1"/>
  <c r="E41" i="23"/>
  <c r="F41" i="23" s="1"/>
  <c r="E42" i="23"/>
  <c r="F42" i="23" s="1"/>
  <c r="E43" i="23"/>
  <c r="F43" i="23" s="1"/>
  <c r="E44" i="23"/>
  <c r="H44" i="23" s="1"/>
  <c r="E45" i="23"/>
  <c r="F45" i="23" s="1"/>
  <c r="E14" i="23"/>
  <c r="H14" i="23" s="1"/>
  <c r="AU6" i="18"/>
  <c r="AU7" i="18"/>
  <c r="AU8" i="18"/>
  <c r="AU9" i="18"/>
  <c r="AU10" i="18"/>
  <c r="AU11" i="18"/>
  <c r="AU12" i="18"/>
  <c r="AU13" i="18"/>
  <c r="AU14" i="18"/>
  <c r="AU15" i="18"/>
  <c r="AU16" i="18"/>
  <c r="AU17" i="18"/>
  <c r="AU18" i="18"/>
  <c r="AU19" i="18"/>
  <c r="AU20" i="18"/>
  <c r="AU21" i="18"/>
  <c r="AU22" i="18"/>
  <c r="AU23" i="18"/>
  <c r="AU24" i="18"/>
  <c r="AU25" i="18"/>
  <c r="AU26" i="18"/>
  <c r="AU27" i="18"/>
  <c r="AU28" i="18"/>
  <c r="AU29" i="18"/>
  <c r="AU30" i="18"/>
  <c r="AU31" i="18"/>
  <c r="AU32" i="18"/>
  <c r="AU33" i="18"/>
  <c r="AU34" i="18"/>
  <c r="AU35" i="18"/>
  <c r="AU36" i="18"/>
  <c r="AU37" i="18"/>
  <c r="AU38" i="18"/>
  <c r="AU39" i="18"/>
  <c r="AU40" i="18"/>
  <c r="AU41" i="18"/>
  <c r="AU42" i="18"/>
  <c r="AU43" i="18"/>
  <c r="AU44" i="18"/>
  <c r="AU45" i="18"/>
  <c r="AU46" i="18"/>
  <c r="AU47" i="18"/>
  <c r="AU48" i="18"/>
  <c r="AU49" i="18"/>
  <c r="AU50" i="18"/>
  <c r="AU51" i="18"/>
  <c r="AU52" i="18"/>
  <c r="AU53" i="18"/>
  <c r="AU54" i="18"/>
  <c r="AU55" i="18"/>
  <c r="AU56" i="18"/>
  <c r="AU57" i="18"/>
  <c r="AU58" i="18"/>
  <c r="AU59" i="18"/>
  <c r="AU60" i="18"/>
  <c r="AU61" i="18"/>
  <c r="AU62" i="18"/>
  <c r="AU63" i="18"/>
  <c r="AU64" i="18"/>
  <c r="AU65" i="18"/>
  <c r="AU66" i="18"/>
  <c r="AU67" i="18"/>
  <c r="AU68" i="18"/>
  <c r="AU69" i="18"/>
  <c r="AU70" i="18"/>
  <c r="AU71" i="18"/>
  <c r="AU72" i="18"/>
  <c r="AU73" i="18"/>
  <c r="AU74" i="18"/>
  <c r="AU75" i="18"/>
  <c r="AU76" i="18"/>
  <c r="AU77" i="18"/>
  <c r="AU78" i="18"/>
  <c r="AU79" i="18"/>
  <c r="AU80" i="18"/>
  <c r="AU81" i="18"/>
  <c r="AU82" i="18"/>
  <c r="AU83" i="18"/>
  <c r="AU84" i="18"/>
  <c r="AU85" i="18"/>
  <c r="AU86" i="18"/>
  <c r="AU87" i="18"/>
  <c r="AU88" i="18"/>
  <c r="AU89" i="18"/>
  <c r="AU90" i="18"/>
  <c r="AU91" i="18"/>
  <c r="AU92" i="18"/>
  <c r="AU93" i="18"/>
  <c r="AU94" i="18"/>
  <c r="AU95" i="18"/>
  <c r="AU96" i="18"/>
  <c r="AU97" i="18"/>
  <c r="AU98" i="18"/>
  <c r="AU99" i="18"/>
  <c r="AU100" i="18"/>
  <c r="AU101" i="18"/>
  <c r="AU102" i="18"/>
  <c r="AU103" i="18"/>
  <c r="AU104" i="18"/>
  <c r="AU105" i="18"/>
  <c r="AU106" i="18"/>
  <c r="AU107" i="18"/>
  <c r="AU108" i="18"/>
  <c r="AU109" i="18"/>
  <c r="AU110" i="18"/>
  <c r="AU111" i="18"/>
  <c r="AU112" i="18"/>
  <c r="AU113" i="18"/>
  <c r="AU114" i="18"/>
  <c r="AU115" i="18"/>
  <c r="AU116" i="18"/>
  <c r="AU117" i="18"/>
  <c r="AU118" i="18"/>
  <c r="AU119" i="18"/>
  <c r="AU120" i="18"/>
  <c r="AU121" i="18"/>
  <c r="AU122" i="18"/>
  <c r="AU5" i="18"/>
  <c r="AN298" i="18"/>
  <c r="AN299" i="18"/>
  <c r="AN300" i="18"/>
  <c r="AN301" i="18"/>
  <c r="AN302" i="18"/>
  <c r="AN303" i="18"/>
  <c r="AN304" i="18"/>
  <c r="AN305" i="18"/>
  <c r="AN306" i="18"/>
  <c r="AN307" i="18"/>
  <c r="AN308" i="18"/>
  <c r="AN309" i="18"/>
  <c r="AN310" i="18"/>
  <c r="AN311" i="18"/>
  <c r="AN312" i="18"/>
  <c r="AN313" i="18"/>
  <c r="AN314" i="18"/>
  <c r="AN315" i="18"/>
  <c r="AN316" i="18"/>
  <c r="AN317" i="18"/>
  <c r="AN318" i="18"/>
  <c r="AN319" i="18"/>
  <c r="AN320" i="18"/>
  <c r="AN321" i="18"/>
  <c r="AN322" i="18"/>
  <c r="AN323" i="18"/>
  <c r="AN324" i="18"/>
  <c r="AN325" i="18"/>
  <c r="AN326" i="18"/>
  <c r="AN327" i="18"/>
  <c r="AN328" i="18"/>
  <c r="AN329" i="18"/>
  <c r="AF10" i="21"/>
  <c r="AG10" i="21"/>
  <c r="AF11" i="21"/>
  <c r="AG11" i="21"/>
  <c r="AF12" i="21"/>
  <c r="AG12" i="21"/>
  <c r="AF13" i="21"/>
  <c r="AG13" i="21"/>
  <c r="AG9" i="21"/>
  <c r="AF9" i="21"/>
  <c r="R19" i="21"/>
  <c r="AT19" i="21" s="1"/>
  <c r="S19" i="21"/>
  <c r="AU19" i="21" s="1"/>
  <c r="R20" i="21"/>
  <c r="AT20" i="21" s="1"/>
  <c r="S20" i="21"/>
  <c r="R21" i="21"/>
  <c r="AT21" i="21" s="1"/>
  <c r="S21" i="21"/>
  <c r="R22" i="21"/>
  <c r="AT22" i="21" s="1"/>
  <c r="S22" i="21"/>
  <c r="AU22" i="21" s="1"/>
  <c r="R23" i="21"/>
  <c r="AT23" i="21" s="1"/>
  <c r="S23" i="21"/>
  <c r="AU23" i="21" s="1"/>
  <c r="R24" i="21"/>
  <c r="AT24" i="21" s="1"/>
  <c r="S24" i="21"/>
  <c r="AU24" i="21" s="1"/>
  <c r="R25" i="21"/>
  <c r="AT25" i="21" s="1"/>
  <c r="S25" i="21"/>
  <c r="R26" i="21"/>
  <c r="AT26" i="21" s="1"/>
  <c r="S26" i="21"/>
  <c r="R27" i="21"/>
  <c r="AT27" i="21" s="1"/>
  <c r="S27" i="21"/>
  <c r="R28" i="21"/>
  <c r="AT28" i="21" s="1"/>
  <c r="S28" i="21"/>
  <c r="AU28" i="21" s="1"/>
  <c r="R29" i="21"/>
  <c r="AT29" i="21" s="1"/>
  <c r="S29" i="21"/>
  <c r="AU29" i="21" s="1"/>
  <c r="R30" i="21"/>
  <c r="AT30" i="21" s="1"/>
  <c r="S30" i="21"/>
  <c r="AU30" i="21" s="1"/>
  <c r="R31" i="21"/>
  <c r="AT31" i="21" s="1"/>
  <c r="S31" i="21"/>
  <c r="AU31" i="21" s="1"/>
  <c r="R32" i="21"/>
  <c r="AT32" i="21" s="1"/>
  <c r="S32" i="21"/>
  <c r="AU32" i="21" s="1"/>
  <c r="R33" i="21"/>
  <c r="AT33" i="21" s="1"/>
  <c r="S33" i="21"/>
  <c r="R34" i="21"/>
  <c r="AT34" i="21" s="1"/>
  <c r="S34" i="21"/>
  <c r="AU34" i="21" s="1"/>
  <c r="R35" i="21"/>
  <c r="AT35" i="21" s="1"/>
  <c r="S35" i="21"/>
  <c r="AU35" i="21" s="1"/>
  <c r="R36" i="21"/>
  <c r="AT36" i="21" s="1"/>
  <c r="S36" i="21"/>
  <c r="AU36" i="21" s="1"/>
  <c r="R37" i="21"/>
  <c r="AT37" i="21" s="1"/>
  <c r="S37" i="21"/>
  <c r="R38" i="21"/>
  <c r="AT38" i="21" s="1"/>
  <c r="S38" i="21"/>
  <c r="AU38" i="21" s="1"/>
  <c r="R39" i="21"/>
  <c r="AT39" i="21" s="1"/>
  <c r="S39" i="21"/>
  <c r="AU39" i="21" s="1"/>
  <c r="R40" i="21"/>
  <c r="AT40" i="21" s="1"/>
  <c r="S40" i="21"/>
  <c r="AU40" i="21" s="1"/>
  <c r="R41" i="21"/>
  <c r="AT41" i="21" s="1"/>
  <c r="S41" i="21"/>
  <c r="AU41" i="21" s="1"/>
  <c r="R42" i="21"/>
  <c r="AT42" i="21" s="1"/>
  <c r="S42" i="21"/>
  <c r="R43" i="21"/>
  <c r="AT43" i="21" s="1"/>
  <c r="S43" i="21"/>
  <c r="AU43" i="21" s="1"/>
  <c r="R44" i="21"/>
  <c r="AT44" i="21" s="1"/>
  <c r="S44" i="21"/>
  <c r="AU44" i="21" s="1"/>
  <c r="R45" i="21"/>
  <c r="AT45" i="21" s="1"/>
  <c r="S45" i="21"/>
  <c r="AU45" i="21" s="1"/>
  <c r="R46" i="21"/>
  <c r="AT46" i="21" s="1"/>
  <c r="S46" i="21"/>
  <c r="AU46" i="21" s="1"/>
  <c r="R47" i="21"/>
  <c r="AT47" i="21" s="1"/>
  <c r="S47" i="21"/>
  <c r="AU47" i="21" s="1"/>
  <c r="R48" i="21"/>
  <c r="AT48" i="21" s="1"/>
  <c r="S48" i="21"/>
  <c r="AU48" i="21" s="1"/>
  <c r="R49" i="21"/>
  <c r="AT49" i="21" s="1"/>
  <c r="S49" i="21"/>
  <c r="AU49" i="21" s="1"/>
  <c r="S18" i="21"/>
  <c r="AU18" i="21" s="1"/>
  <c r="R18" i="21"/>
  <c r="AT18" i="21" s="1"/>
  <c r="AN268" i="18"/>
  <c r="AN269" i="18"/>
  <c r="AN270" i="18"/>
  <c r="AN271" i="18"/>
  <c r="AN272" i="18"/>
  <c r="AN273" i="18"/>
  <c r="AN274" i="18"/>
  <c r="AN275" i="18"/>
  <c r="AN276" i="18"/>
  <c r="AN277" i="18"/>
  <c r="AN278" i="18"/>
  <c r="AN279" i="18"/>
  <c r="AN280" i="18"/>
  <c r="AN281" i="18"/>
  <c r="AN282" i="18"/>
  <c r="AN283" i="18"/>
  <c r="AN284" i="18"/>
  <c r="AN285" i="18"/>
  <c r="AN286" i="18"/>
  <c r="AN287" i="18"/>
  <c r="AN288" i="18"/>
  <c r="AN289" i="18"/>
  <c r="AN290" i="18"/>
  <c r="AN291" i="18"/>
  <c r="AN292" i="18"/>
  <c r="AN293" i="18"/>
  <c r="AN294" i="18"/>
  <c r="AN295" i="18"/>
  <c r="AN296" i="18"/>
  <c r="AN297" i="18"/>
  <c r="P6" i="20"/>
  <c r="O6" i="20"/>
  <c r="P25" i="32" l="1"/>
  <c r="P26" i="32"/>
  <c r="P23" i="32"/>
  <c r="P30" i="32"/>
  <c r="P24" i="32"/>
  <c r="P22" i="32"/>
  <c r="P9" i="32"/>
  <c r="P11" i="32"/>
  <c r="P14" i="32"/>
  <c r="V25" i="31"/>
  <c r="I32" i="28"/>
  <c r="I20" i="29"/>
  <c r="I27" i="29"/>
  <c r="I19" i="28"/>
  <c r="I20" i="28"/>
  <c r="P18" i="28" s="1"/>
  <c r="I25" i="29"/>
  <c r="I30" i="30"/>
  <c r="I22" i="28"/>
  <c r="I31" i="28"/>
  <c r="I16" i="29"/>
  <c r="P18" i="29" s="1"/>
  <c r="I19" i="30"/>
  <c r="N32" i="30" s="1"/>
  <c r="I17" i="28"/>
  <c r="P28" i="28" s="1"/>
  <c r="I21" i="29"/>
  <c r="I16" i="28"/>
  <c r="X13" i="26"/>
  <c r="I28" i="28"/>
  <c r="I18" i="29"/>
  <c r="I26" i="28"/>
  <c r="I28" i="29"/>
  <c r="I19" i="29"/>
  <c r="V23" i="31"/>
  <c r="I22" i="29"/>
  <c r="I17" i="29"/>
  <c r="I21" i="28"/>
  <c r="I27" i="28"/>
  <c r="I32" i="29"/>
  <c r="I29" i="28"/>
  <c r="I18" i="28"/>
  <c r="I30" i="28"/>
  <c r="I24" i="28"/>
  <c r="I24" i="29"/>
  <c r="P35" i="6"/>
  <c r="P41" i="6"/>
  <c r="P42" i="6"/>
  <c r="P37" i="6"/>
  <c r="P45" i="6"/>
  <c r="P40" i="6"/>
  <c r="P43" i="6"/>
  <c r="P39" i="6"/>
  <c r="P33" i="6"/>
  <c r="P30" i="6"/>
  <c r="P38" i="6"/>
  <c r="P36" i="6"/>
  <c r="P44" i="6"/>
  <c r="P31" i="6"/>
  <c r="V24" i="31"/>
  <c r="V29" i="31"/>
  <c r="V27" i="31"/>
  <c r="V21" i="31"/>
  <c r="V26" i="31"/>
  <c r="V22" i="31"/>
  <c r="V28" i="31"/>
  <c r="V7" i="31"/>
  <c r="V8" i="31"/>
  <c r="V12" i="31"/>
  <c r="V6" i="31"/>
  <c r="V11" i="31"/>
  <c r="V9" i="31"/>
  <c r="V13" i="31"/>
  <c r="V10" i="31"/>
  <c r="U6" i="27"/>
  <c r="U6" i="25"/>
  <c r="U6" i="26"/>
  <c r="V6" i="27"/>
  <c r="V6" i="26"/>
  <c r="V6" i="25"/>
  <c r="H9" i="28"/>
  <c r="I9" i="28"/>
  <c r="H6" i="28"/>
  <c r="I6" i="28"/>
  <c r="M10" i="28" s="1"/>
  <c r="H10" i="28"/>
  <c r="I10" i="28"/>
  <c r="H7" i="29"/>
  <c r="I7" i="29"/>
  <c r="H5" i="29"/>
  <c r="I5" i="29"/>
  <c r="I9" i="29"/>
  <c r="H13" i="28"/>
  <c r="I13" i="28"/>
  <c r="H5" i="28"/>
  <c r="I5" i="28"/>
  <c r="H5" i="30"/>
  <c r="I5" i="30"/>
  <c r="H6" i="30"/>
  <c r="I6" i="30"/>
  <c r="H13" i="29"/>
  <c r="I13" i="29"/>
  <c r="H10" i="30"/>
  <c r="I10" i="30"/>
  <c r="I9" i="30"/>
  <c r="H12" i="28"/>
  <c r="I12" i="28"/>
  <c r="I11" i="30"/>
  <c r="I6" i="29"/>
  <c r="H11" i="28"/>
  <c r="I11" i="28"/>
  <c r="H8" i="30"/>
  <c r="I8" i="30"/>
  <c r="I11" i="29"/>
  <c r="H7" i="28"/>
  <c r="I7" i="28"/>
  <c r="I10" i="29"/>
  <c r="H8" i="28"/>
  <c r="I8" i="28"/>
  <c r="H13" i="30"/>
  <c r="I13" i="30"/>
  <c r="I12" i="30"/>
  <c r="H7" i="30"/>
  <c r="I7" i="30"/>
  <c r="H8" i="29"/>
  <c r="I8" i="29"/>
  <c r="H12" i="29"/>
  <c r="I12" i="29"/>
  <c r="I23" i="30"/>
  <c r="I27" i="30"/>
  <c r="I31" i="30"/>
  <c r="I21" i="30"/>
  <c r="I29" i="29"/>
  <c r="I25" i="30"/>
  <c r="AN19" i="27"/>
  <c r="I28" i="30"/>
  <c r="I17" i="30"/>
  <c r="I24" i="30"/>
  <c r="I18" i="30"/>
  <c r="I20" i="30"/>
  <c r="I26" i="30"/>
  <c r="I16" i="30"/>
  <c r="I22" i="30"/>
  <c r="I29" i="30"/>
  <c r="I32" i="30"/>
  <c r="N16" i="28"/>
  <c r="P16" i="28"/>
  <c r="N21" i="28"/>
  <c r="O16" i="28"/>
  <c r="M21" i="28"/>
  <c r="M16" i="28"/>
  <c r="O17" i="28"/>
  <c r="AN21" i="27"/>
  <c r="AN22" i="27"/>
  <c r="AN21" i="26"/>
  <c r="AN23" i="25"/>
  <c r="AN27" i="25"/>
  <c r="T42" i="21"/>
  <c r="AV42" i="21" s="1"/>
  <c r="H42" i="23"/>
  <c r="R5" i="23"/>
  <c r="T26" i="21"/>
  <c r="AV26" i="21" s="1"/>
  <c r="AH10" i="21"/>
  <c r="AH11" i="21"/>
  <c r="J28" i="23"/>
  <c r="G40" i="23"/>
  <c r="J18" i="23"/>
  <c r="J34" i="23"/>
  <c r="G22" i="23"/>
  <c r="V10" i="23"/>
  <c r="W10" i="23"/>
  <c r="X10" i="23"/>
  <c r="Y10" i="23"/>
  <c r="Z10" i="23"/>
  <c r="F16" i="23"/>
  <c r="T20" i="21"/>
  <c r="AV20" i="21" s="1"/>
  <c r="I40" i="23"/>
  <c r="Q5" i="23"/>
  <c r="R7" i="23"/>
  <c r="F30" i="23"/>
  <c r="J22" i="23"/>
  <c r="G16" i="23"/>
  <c r="I22" i="23"/>
  <c r="G36" i="23"/>
  <c r="H22" i="23"/>
  <c r="I28" i="23"/>
  <c r="I34" i="23"/>
  <c r="G34" i="23"/>
  <c r="F26" i="23"/>
  <c r="I18" i="23"/>
  <c r="J42" i="23"/>
  <c r="I36" i="23"/>
  <c r="I42" i="23"/>
  <c r="H36" i="23"/>
  <c r="T5" i="23"/>
  <c r="F40" i="23"/>
  <c r="H34" i="23"/>
  <c r="S10" i="23"/>
  <c r="T10" i="23"/>
  <c r="U10" i="23"/>
  <c r="U9" i="23"/>
  <c r="T9" i="23"/>
  <c r="J32" i="23"/>
  <c r="R8" i="23"/>
  <c r="R10" i="23"/>
  <c r="I32" i="23"/>
  <c r="J26" i="23"/>
  <c r="U7" i="23"/>
  <c r="F36" i="23"/>
  <c r="H32" i="23"/>
  <c r="H26" i="23"/>
  <c r="T7" i="23"/>
  <c r="G32" i="23"/>
  <c r="G26" i="23"/>
  <c r="S7" i="23"/>
  <c r="G44" i="23"/>
  <c r="H30" i="23"/>
  <c r="G20" i="23"/>
  <c r="I16" i="23"/>
  <c r="F44" i="23"/>
  <c r="H40" i="23"/>
  <c r="G30" i="23"/>
  <c r="F20" i="23"/>
  <c r="H16" i="23"/>
  <c r="S5" i="23"/>
  <c r="Q8" i="23"/>
  <c r="I14" i="23"/>
  <c r="J38" i="23"/>
  <c r="H18" i="23"/>
  <c r="S9" i="23"/>
  <c r="J14" i="23"/>
  <c r="G42" i="23"/>
  <c r="I38" i="23"/>
  <c r="H28" i="23"/>
  <c r="J24" i="23"/>
  <c r="G18" i="23"/>
  <c r="R9" i="23"/>
  <c r="U6" i="23"/>
  <c r="H38" i="23"/>
  <c r="G28" i="23"/>
  <c r="I24" i="23"/>
  <c r="T6" i="23"/>
  <c r="J44" i="23"/>
  <c r="G38" i="23"/>
  <c r="H24" i="23"/>
  <c r="J20" i="23"/>
  <c r="U8" i="23"/>
  <c r="S6" i="23"/>
  <c r="I44" i="23"/>
  <c r="J30" i="23"/>
  <c r="G24" i="23"/>
  <c r="I20" i="23"/>
  <c r="T8" i="23"/>
  <c r="R6" i="23"/>
  <c r="T33" i="21"/>
  <c r="AV33" i="21" s="1"/>
  <c r="T27" i="21"/>
  <c r="AV27" i="21" s="1"/>
  <c r="T21" i="21"/>
  <c r="AV21" i="21" s="1"/>
  <c r="AU27" i="21"/>
  <c r="T37" i="21"/>
  <c r="AV37" i="21" s="1"/>
  <c r="T25" i="21"/>
  <c r="AV25" i="21" s="1"/>
  <c r="T19" i="21"/>
  <c r="AV19" i="21" s="1"/>
  <c r="AU42" i="21"/>
  <c r="AU26" i="21"/>
  <c r="AF14" i="21"/>
  <c r="AU37" i="21"/>
  <c r="AU33" i="21"/>
  <c r="AU25" i="21"/>
  <c r="AU21" i="21"/>
  <c r="AU20" i="21"/>
  <c r="J45" i="23"/>
  <c r="J41" i="23"/>
  <c r="J35" i="23"/>
  <c r="J31" i="23"/>
  <c r="J25" i="23"/>
  <c r="J15" i="23"/>
  <c r="I41" i="23"/>
  <c r="I35" i="23"/>
  <c r="I31" i="23"/>
  <c r="I25" i="23"/>
  <c r="I21" i="23"/>
  <c r="I15" i="23"/>
  <c r="H45" i="23"/>
  <c r="H43" i="23"/>
  <c r="H41" i="23"/>
  <c r="H39" i="23"/>
  <c r="H37" i="23"/>
  <c r="H35" i="23"/>
  <c r="H33" i="23"/>
  <c r="H31" i="23"/>
  <c r="H29" i="23"/>
  <c r="H27" i="23"/>
  <c r="H25" i="23"/>
  <c r="H23" i="23"/>
  <c r="H21" i="23"/>
  <c r="H19" i="23"/>
  <c r="H17" i="23"/>
  <c r="H15" i="23"/>
  <c r="J43" i="23"/>
  <c r="J37" i="23"/>
  <c r="J29" i="23"/>
  <c r="J23" i="23"/>
  <c r="J19" i="23"/>
  <c r="I45" i="23"/>
  <c r="I39" i="23"/>
  <c r="I33" i="23"/>
  <c r="I29" i="23"/>
  <c r="I23" i="23"/>
  <c r="I19" i="23"/>
  <c r="G45" i="23"/>
  <c r="G43" i="23"/>
  <c r="G41" i="23"/>
  <c r="G39" i="23"/>
  <c r="G37" i="23"/>
  <c r="G35" i="23"/>
  <c r="G33" i="23"/>
  <c r="G31" i="23"/>
  <c r="G29" i="23"/>
  <c r="G27" i="23"/>
  <c r="G25" i="23"/>
  <c r="G23" i="23"/>
  <c r="G21" i="23"/>
  <c r="G19" i="23"/>
  <c r="G17" i="23"/>
  <c r="G15" i="23"/>
  <c r="J39" i="23"/>
  <c r="J33" i="23"/>
  <c r="J27" i="23"/>
  <c r="J21" i="23"/>
  <c r="J17" i="23"/>
  <c r="I43" i="23"/>
  <c r="I37" i="23"/>
  <c r="I27" i="23"/>
  <c r="I17" i="23"/>
  <c r="F14" i="23"/>
  <c r="G14" i="23"/>
  <c r="T35" i="21"/>
  <c r="AV35" i="21" s="1"/>
  <c r="T29" i="21"/>
  <c r="AV29" i="21" s="1"/>
  <c r="T23" i="21"/>
  <c r="AV23" i="21" s="1"/>
  <c r="AH13" i="21"/>
  <c r="AH12" i="21"/>
  <c r="T38" i="21"/>
  <c r="AV38" i="21" s="1"/>
  <c r="AH9" i="21"/>
  <c r="T32" i="21"/>
  <c r="AV32" i="21" s="1"/>
  <c r="T49" i="21"/>
  <c r="AV49" i="21" s="1"/>
  <c r="T43" i="21"/>
  <c r="AV43" i="21" s="1"/>
  <c r="T47" i="21"/>
  <c r="AV47" i="21" s="1"/>
  <c r="T41" i="21"/>
  <c r="AV41" i="21" s="1"/>
  <c r="T24" i="21"/>
  <c r="AV24" i="21" s="1"/>
  <c r="AG14" i="21"/>
  <c r="T46" i="21"/>
  <c r="AV46" i="21" s="1"/>
  <c r="T28" i="21"/>
  <c r="AV28" i="21" s="1"/>
  <c r="T31" i="21"/>
  <c r="AV31" i="21" s="1"/>
  <c r="T45" i="21"/>
  <c r="AV45" i="21" s="1"/>
  <c r="T39" i="21"/>
  <c r="AV39" i="21" s="1"/>
  <c r="T22" i="21"/>
  <c r="AV22" i="21" s="1"/>
  <c r="T40" i="21"/>
  <c r="AV40" i="21" s="1"/>
  <c r="T30" i="21"/>
  <c r="AV30" i="21" s="1"/>
  <c r="T18" i="21"/>
  <c r="AV18" i="21" s="1"/>
  <c r="T36" i="21"/>
  <c r="AV36" i="21" s="1"/>
  <c r="T48" i="21"/>
  <c r="AV48" i="21" s="1"/>
  <c r="T34" i="21"/>
  <c r="AV34" i="21" s="1"/>
  <c r="T44" i="21"/>
  <c r="AV44" i="21" s="1"/>
  <c r="O7" i="20"/>
  <c r="P7" i="20"/>
  <c r="AO20" i="21"/>
  <c r="AO21" i="21"/>
  <c r="AO22" i="21"/>
  <c r="AO23" i="21"/>
  <c r="H27" i="26"/>
  <c r="AO26" i="21"/>
  <c r="H22" i="25"/>
  <c r="AO28" i="21"/>
  <c r="H24" i="25"/>
  <c r="AO31" i="21"/>
  <c r="AO35" i="21"/>
  <c r="H28" i="26"/>
  <c r="H22" i="26"/>
  <c r="AO38" i="21"/>
  <c r="H28" i="25"/>
  <c r="AO40" i="21"/>
  <c r="AO41" i="21"/>
  <c r="AO42" i="21"/>
  <c r="AO43" i="21"/>
  <c r="AO44" i="21"/>
  <c r="AO45" i="21"/>
  <c r="AO46" i="21"/>
  <c r="H30" i="26"/>
  <c r="H18" i="25"/>
  <c r="G19" i="25"/>
  <c r="AI19" i="25" s="1"/>
  <c r="AN20" i="21"/>
  <c r="AN21" i="21"/>
  <c r="AN22" i="21"/>
  <c r="AN23" i="21"/>
  <c r="G21" i="25"/>
  <c r="AN26" i="21"/>
  <c r="G22" i="25"/>
  <c r="AN28" i="21"/>
  <c r="G24" i="25"/>
  <c r="G25" i="25"/>
  <c r="AI25" i="25" s="1"/>
  <c r="AN35" i="21"/>
  <c r="G28" i="26"/>
  <c r="AI28" i="26" s="1"/>
  <c r="G22" i="26"/>
  <c r="AN38" i="21"/>
  <c r="AN40" i="21"/>
  <c r="AY40" i="21" s="1"/>
  <c r="AN41" i="21"/>
  <c r="AY41" i="21" s="1"/>
  <c r="AN45" i="21"/>
  <c r="AN46" i="21"/>
  <c r="G18" i="25"/>
  <c r="K19" i="25"/>
  <c r="K20" i="25"/>
  <c r="K27" i="26"/>
  <c r="K21" i="25"/>
  <c r="K22" i="25"/>
  <c r="K24" i="25"/>
  <c r="K25" i="25"/>
  <c r="K26" i="25"/>
  <c r="K18" i="27"/>
  <c r="K28" i="26"/>
  <c r="K29" i="26"/>
  <c r="L29" i="26" s="1"/>
  <c r="AM29" i="26" s="1"/>
  <c r="AN29" i="26" s="1"/>
  <c r="K28" i="25"/>
  <c r="K23" i="26"/>
  <c r="K24" i="26"/>
  <c r="L24" i="26" s="1"/>
  <c r="AM24" i="26" s="1"/>
  <c r="AN24" i="26" s="1"/>
  <c r="K29" i="25"/>
  <c r="L29" i="25" s="1"/>
  <c r="AM29" i="25" s="1"/>
  <c r="AN29" i="25" s="1"/>
  <c r="K31" i="25"/>
  <c r="AN6" i="18"/>
  <c r="AN7" i="18"/>
  <c r="AN8" i="18"/>
  <c r="AN9" i="18"/>
  <c r="AN10" i="18"/>
  <c r="AN11" i="18"/>
  <c r="AN12" i="18"/>
  <c r="AN13" i="18"/>
  <c r="AN14" i="18"/>
  <c r="AN15" i="18"/>
  <c r="AN16" i="18"/>
  <c r="AN17" i="18"/>
  <c r="AN18" i="18"/>
  <c r="AN19" i="18"/>
  <c r="AN20" i="18"/>
  <c r="AN21" i="18"/>
  <c r="AN22" i="18"/>
  <c r="AN23" i="18"/>
  <c r="AN24" i="18"/>
  <c r="AN25" i="18"/>
  <c r="AN26" i="18"/>
  <c r="AN27" i="18"/>
  <c r="AN28" i="18"/>
  <c r="AN29" i="18"/>
  <c r="AN30" i="18"/>
  <c r="AN31" i="18"/>
  <c r="AN32" i="18"/>
  <c r="AN33" i="18"/>
  <c r="AN34" i="18"/>
  <c r="AN35" i="18"/>
  <c r="AN36" i="18"/>
  <c r="AN37" i="18"/>
  <c r="AN38" i="18"/>
  <c r="AN39" i="18"/>
  <c r="AN40" i="18"/>
  <c r="AN41" i="18"/>
  <c r="AN42" i="18"/>
  <c r="AN43" i="18"/>
  <c r="AN44" i="18"/>
  <c r="AN45" i="18"/>
  <c r="AN46" i="18"/>
  <c r="AN47" i="18"/>
  <c r="AN48" i="18"/>
  <c r="AN49" i="18"/>
  <c r="AN50" i="18"/>
  <c r="AN51" i="18"/>
  <c r="AN52" i="18"/>
  <c r="AN53" i="18"/>
  <c r="AN54" i="18"/>
  <c r="AN55" i="18"/>
  <c r="AN56" i="18"/>
  <c r="AN57" i="18"/>
  <c r="AN58" i="18"/>
  <c r="AN59" i="18"/>
  <c r="AN60" i="18"/>
  <c r="AN61" i="18"/>
  <c r="AN62" i="18"/>
  <c r="AN63" i="18"/>
  <c r="AN64" i="18"/>
  <c r="AN65" i="18"/>
  <c r="AN66" i="18"/>
  <c r="AN67" i="18"/>
  <c r="AN68" i="18"/>
  <c r="AN69" i="18"/>
  <c r="AN70" i="18"/>
  <c r="AN71" i="18"/>
  <c r="AN72" i="18"/>
  <c r="AN73" i="18"/>
  <c r="AN74" i="18"/>
  <c r="AN75" i="18"/>
  <c r="AN76" i="18"/>
  <c r="AN77" i="18"/>
  <c r="AN78" i="18"/>
  <c r="AN79" i="18"/>
  <c r="AN80" i="18"/>
  <c r="AN81" i="18"/>
  <c r="AN82" i="18"/>
  <c r="AN83" i="18"/>
  <c r="AN84" i="18"/>
  <c r="AN85" i="18"/>
  <c r="AN86" i="18"/>
  <c r="AN87" i="18"/>
  <c r="AN88" i="18"/>
  <c r="AN89" i="18"/>
  <c r="AN90" i="18"/>
  <c r="AN91" i="18"/>
  <c r="AN92" i="18"/>
  <c r="AN93" i="18"/>
  <c r="AN94" i="18"/>
  <c r="AN95" i="18"/>
  <c r="AN96" i="18"/>
  <c r="AN97" i="18"/>
  <c r="AN98" i="18"/>
  <c r="AN99" i="18"/>
  <c r="AN100" i="18"/>
  <c r="AN101" i="18"/>
  <c r="AN102" i="18"/>
  <c r="AN103" i="18"/>
  <c r="AN104" i="18"/>
  <c r="AN105" i="18"/>
  <c r="AN106" i="18"/>
  <c r="AN107" i="18"/>
  <c r="AN108" i="18"/>
  <c r="AN109" i="18"/>
  <c r="AN110" i="18"/>
  <c r="AN111" i="18"/>
  <c r="AN112" i="18"/>
  <c r="AN113" i="18"/>
  <c r="AN114" i="18"/>
  <c r="AN115" i="18"/>
  <c r="AN116" i="18"/>
  <c r="AN117" i="18"/>
  <c r="AN118" i="18"/>
  <c r="AN119" i="18"/>
  <c r="AN120" i="18"/>
  <c r="AN121" i="18"/>
  <c r="AN122" i="18"/>
  <c r="AN123" i="18"/>
  <c r="AN124" i="18"/>
  <c r="AN125" i="18"/>
  <c r="AN126" i="18"/>
  <c r="AN127" i="18"/>
  <c r="AN128" i="18"/>
  <c r="AN129" i="18"/>
  <c r="AN130" i="18"/>
  <c r="AN131" i="18"/>
  <c r="AN132" i="18"/>
  <c r="AN133" i="18"/>
  <c r="AN134" i="18"/>
  <c r="AN135" i="18"/>
  <c r="AN136" i="18"/>
  <c r="AN137" i="18"/>
  <c r="AN138" i="18"/>
  <c r="AN139" i="18"/>
  <c r="AN140" i="18"/>
  <c r="AN141" i="18"/>
  <c r="AN142" i="18"/>
  <c r="AN143" i="18"/>
  <c r="AN144" i="18"/>
  <c r="AN145" i="18"/>
  <c r="AN146" i="18"/>
  <c r="AN147" i="18"/>
  <c r="AN148" i="18"/>
  <c r="AN149" i="18"/>
  <c r="AN150" i="18"/>
  <c r="AN151" i="18"/>
  <c r="AN152" i="18"/>
  <c r="AN153" i="18"/>
  <c r="AN154" i="18"/>
  <c r="AN155" i="18"/>
  <c r="AN156" i="18"/>
  <c r="AN157" i="18"/>
  <c r="AN158" i="18"/>
  <c r="AN159" i="18"/>
  <c r="AN160" i="18"/>
  <c r="AN161" i="18"/>
  <c r="AN162" i="18"/>
  <c r="AN163" i="18"/>
  <c r="AN164" i="18"/>
  <c r="AN165" i="18"/>
  <c r="AN166" i="18"/>
  <c r="AN167" i="18"/>
  <c r="AN168" i="18"/>
  <c r="AN169" i="18"/>
  <c r="AN170" i="18"/>
  <c r="AN171" i="18"/>
  <c r="AN172" i="18"/>
  <c r="AN173" i="18"/>
  <c r="AN174" i="18"/>
  <c r="AN175" i="18"/>
  <c r="AN176" i="18"/>
  <c r="AN177" i="18"/>
  <c r="AN178" i="18"/>
  <c r="AN179" i="18"/>
  <c r="AN180" i="18"/>
  <c r="AN181" i="18"/>
  <c r="AN182" i="18"/>
  <c r="AN183" i="18"/>
  <c r="AN184" i="18"/>
  <c r="AN185" i="18"/>
  <c r="AN186" i="18"/>
  <c r="AN187" i="18"/>
  <c r="AN188" i="18"/>
  <c r="AN189" i="18"/>
  <c r="AN190" i="18"/>
  <c r="AN191" i="18"/>
  <c r="AN192" i="18"/>
  <c r="AN193" i="18"/>
  <c r="AN194" i="18"/>
  <c r="AN195" i="18"/>
  <c r="AN196" i="18"/>
  <c r="AN197" i="18"/>
  <c r="AN198" i="18"/>
  <c r="AN199" i="18"/>
  <c r="AN200" i="18"/>
  <c r="AN201" i="18"/>
  <c r="AN202" i="18"/>
  <c r="AN203" i="18"/>
  <c r="AN204" i="18"/>
  <c r="AN205" i="18"/>
  <c r="AN206" i="18"/>
  <c r="AN207" i="18"/>
  <c r="AN208" i="18"/>
  <c r="AN209" i="18"/>
  <c r="AN210" i="18"/>
  <c r="AN211" i="18"/>
  <c r="AN212" i="18"/>
  <c r="AN213" i="18"/>
  <c r="AN214" i="18"/>
  <c r="AN215" i="18"/>
  <c r="AN216" i="18"/>
  <c r="AN217" i="18"/>
  <c r="AN218" i="18"/>
  <c r="AN219" i="18"/>
  <c r="AN220" i="18"/>
  <c r="AN221" i="18"/>
  <c r="AN222" i="18"/>
  <c r="AN223" i="18"/>
  <c r="AN224" i="18"/>
  <c r="AN225" i="18"/>
  <c r="AN226" i="18"/>
  <c r="AN227" i="18"/>
  <c r="AN228" i="18"/>
  <c r="AN229" i="18"/>
  <c r="AN230" i="18"/>
  <c r="AN231" i="18"/>
  <c r="AN232" i="18"/>
  <c r="AN233" i="18"/>
  <c r="AN234" i="18"/>
  <c r="AN235" i="18"/>
  <c r="AN236" i="18"/>
  <c r="AN237" i="18"/>
  <c r="AN238" i="18"/>
  <c r="AN239" i="18"/>
  <c r="AN240" i="18"/>
  <c r="AN241" i="18"/>
  <c r="AN242" i="18"/>
  <c r="AN243" i="18"/>
  <c r="AN244" i="18"/>
  <c r="AN245" i="18"/>
  <c r="AN246" i="18"/>
  <c r="AN247" i="18"/>
  <c r="AN248" i="18"/>
  <c r="AN249" i="18"/>
  <c r="AN250" i="18"/>
  <c r="AN251" i="18"/>
  <c r="AN252" i="18"/>
  <c r="AN253" i="18"/>
  <c r="AN254" i="18"/>
  <c r="AN255" i="18"/>
  <c r="AN256" i="18"/>
  <c r="AN257" i="18"/>
  <c r="AN258" i="18"/>
  <c r="AN259" i="18"/>
  <c r="AN260" i="18"/>
  <c r="AN261" i="18"/>
  <c r="AN262" i="18"/>
  <c r="AN263" i="18"/>
  <c r="AN264" i="18"/>
  <c r="AN265" i="18"/>
  <c r="AN266" i="18"/>
  <c r="AN267" i="18"/>
  <c r="AN5" i="18"/>
  <c r="AB6" i="18"/>
  <c r="AB7" i="18"/>
  <c r="AB8" i="18"/>
  <c r="AB9" i="18"/>
  <c r="AB10" i="18"/>
  <c r="AB11" i="18"/>
  <c r="AB12" i="18"/>
  <c r="AB13" i="18"/>
  <c r="AB14" i="18"/>
  <c r="AB15" i="18"/>
  <c r="AB16" i="18"/>
  <c r="AB17" i="18"/>
  <c r="AB18" i="18"/>
  <c r="AB19" i="18"/>
  <c r="AB20" i="18"/>
  <c r="AB21" i="18"/>
  <c r="AB22" i="18"/>
  <c r="AB23" i="18"/>
  <c r="AB24" i="18"/>
  <c r="AB25" i="18"/>
  <c r="AB26" i="18"/>
  <c r="AB27" i="18"/>
  <c r="AB28" i="18"/>
  <c r="AB29" i="18"/>
  <c r="AB30" i="18"/>
  <c r="AB31" i="18"/>
  <c r="AB32" i="18"/>
  <c r="AB33" i="18"/>
  <c r="AB34" i="18"/>
  <c r="AB35" i="18"/>
  <c r="AB36" i="18"/>
  <c r="AB37" i="18"/>
  <c r="AB38" i="18"/>
  <c r="AB39" i="18"/>
  <c r="AB40" i="18"/>
  <c r="AB41" i="18"/>
  <c r="AB42" i="18"/>
  <c r="AB43" i="18"/>
  <c r="AB44" i="18"/>
  <c r="AB45" i="18"/>
  <c r="AB46" i="18"/>
  <c r="AB47" i="18"/>
  <c r="AB48" i="18"/>
  <c r="AB49" i="18"/>
  <c r="AB50" i="18"/>
  <c r="AB51" i="18"/>
  <c r="AB52" i="18"/>
  <c r="AB53" i="18"/>
  <c r="AB54" i="18"/>
  <c r="AB55" i="18"/>
  <c r="AB56" i="18"/>
  <c r="AB57" i="18"/>
  <c r="AB58" i="18"/>
  <c r="AB59" i="18"/>
  <c r="AB60" i="18"/>
  <c r="AB61" i="18"/>
  <c r="AB62" i="18"/>
  <c r="AB63" i="18"/>
  <c r="AB64" i="18"/>
  <c r="AB65" i="18"/>
  <c r="AB66" i="18"/>
  <c r="AB67" i="18"/>
  <c r="AB68" i="18"/>
  <c r="AB69" i="18"/>
  <c r="AB70" i="18"/>
  <c r="AB71" i="18"/>
  <c r="AB72" i="18"/>
  <c r="AB73" i="18"/>
  <c r="AB74" i="18"/>
  <c r="AB75" i="18"/>
  <c r="AB76" i="18"/>
  <c r="AB77" i="18"/>
  <c r="AB78" i="18"/>
  <c r="AB79" i="18"/>
  <c r="AB80" i="18"/>
  <c r="AB81" i="18"/>
  <c r="AB82" i="18"/>
  <c r="AB83" i="18"/>
  <c r="AB84" i="18"/>
  <c r="AB85" i="18"/>
  <c r="AB86" i="18"/>
  <c r="AB87" i="18"/>
  <c r="AB88" i="18"/>
  <c r="AB89" i="18"/>
  <c r="AB90" i="18"/>
  <c r="AB91" i="18"/>
  <c r="AB92" i="18"/>
  <c r="AB93" i="18"/>
  <c r="AB94" i="18"/>
  <c r="AB95" i="18"/>
  <c r="AB96" i="18"/>
  <c r="AB97" i="18"/>
  <c r="AB98" i="18"/>
  <c r="AB99" i="18"/>
  <c r="AB100" i="18"/>
  <c r="AB101" i="18"/>
  <c r="AB102" i="18"/>
  <c r="AB103" i="18"/>
  <c r="AB104" i="18"/>
  <c r="AB105" i="18"/>
  <c r="AB106" i="18"/>
  <c r="AB107" i="18"/>
  <c r="AB108" i="18"/>
  <c r="AB109" i="18"/>
  <c r="AB110" i="18"/>
  <c r="AB111" i="18"/>
  <c r="AB112" i="18"/>
  <c r="AB113" i="18"/>
  <c r="AB114" i="18"/>
  <c r="AB115" i="18"/>
  <c r="AB116" i="18"/>
  <c r="AB117" i="18"/>
  <c r="AB118" i="18"/>
  <c r="AB119" i="18"/>
  <c r="AB120" i="18"/>
  <c r="AB121" i="18"/>
  <c r="AB122" i="18"/>
  <c r="AB123" i="18"/>
  <c r="AB124" i="18"/>
  <c r="AB125" i="18"/>
  <c r="AB126" i="18"/>
  <c r="AB127" i="18"/>
  <c r="AB128" i="18"/>
  <c r="AB129" i="18"/>
  <c r="AB130" i="18"/>
  <c r="AB131" i="18"/>
  <c r="AB132" i="18"/>
  <c r="AB133" i="18"/>
  <c r="AB134" i="18"/>
  <c r="AB135" i="18"/>
  <c r="AB136" i="18"/>
  <c r="AB137" i="18"/>
  <c r="AB138" i="18"/>
  <c r="AB139" i="18"/>
  <c r="AB140" i="18"/>
  <c r="AB141" i="18"/>
  <c r="AB142" i="18"/>
  <c r="AB143" i="18"/>
  <c r="AB144" i="18"/>
  <c r="AB145" i="18"/>
  <c r="AB146" i="18"/>
  <c r="AB147" i="18"/>
  <c r="AB148" i="18"/>
  <c r="AB149" i="18"/>
  <c r="AB150" i="18"/>
  <c r="AB151" i="18"/>
  <c r="AB152" i="18"/>
  <c r="AB153" i="18"/>
  <c r="AB154" i="18"/>
  <c r="AB155" i="18"/>
  <c r="AB156" i="18"/>
  <c r="AB157" i="18"/>
  <c r="AB158" i="18"/>
  <c r="AB159" i="18"/>
  <c r="AB160" i="18"/>
  <c r="AB161" i="18"/>
  <c r="AB162" i="18"/>
  <c r="AB163" i="18"/>
  <c r="AB164" i="18"/>
  <c r="AB165" i="18"/>
  <c r="AB166" i="18"/>
  <c r="AB167" i="18"/>
  <c r="AB168" i="18"/>
  <c r="AB169" i="18"/>
  <c r="AB170" i="18"/>
  <c r="AB171" i="18"/>
  <c r="AB172" i="18"/>
  <c r="AB173" i="18"/>
  <c r="AB174" i="18"/>
  <c r="AB175" i="18"/>
  <c r="AB176" i="18"/>
  <c r="AB177" i="18"/>
  <c r="AB178" i="18"/>
  <c r="AB179" i="18"/>
  <c r="AB180" i="18"/>
  <c r="AB181" i="18"/>
  <c r="AB182" i="18"/>
  <c r="AB183" i="18"/>
  <c r="AB184" i="18"/>
  <c r="AB185" i="18"/>
  <c r="AB186" i="18"/>
  <c r="AB187" i="18"/>
  <c r="AB188" i="18"/>
  <c r="AB189" i="18"/>
  <c r="AB190" i="18"/>
  <c r="AB191" i="18"/>
  <c r="AB192" i="18"/>
  <c r="AB193" i="18"/>
  <c r="AB194" i="18"/>
  <c r="AB195" i="18"/>
  <c r="AB196" i="18"/>
  <c r="AB197" i="18"/>
  <c r="AB198" i="18"/>
  <c r="AB199" i="18"/>
  <c r="AB200" i="18"/>
  <c r="AB201" i="18"/>
  <c r="AB202" i="18"/>
  <c r="AB203" i="18"/>
  <c r="AB204" i="18"/>
  <c r="AB205" i="18"/>
  <c r="AB206" i="18"/>
  <c r="AB207" i="18"/>
  <c r="AB208" i="18"/>
  <c r="AB209" i="18"/>
  <c r="AB210" i="18"/>
  <c r="AB211" i="18"/>
  <c r="AB212" i="18"/>
  <c r="AB213" i="18"/>
  <c r="AB214" i="18"/>
  <c r="AB215" i="18"/>
  <c r="AB216" i="18"/>
  <c r="AB217" i="18"/>
  <c r="AB218" i="18"/>
  <c r="AB219" i="18"/>
  <c r="AB220" i="18"/>
  <c r="AB221" i="18"/>
  <c r="AB222" i="18"/>
  <c r="AB223" i="18"/>
  <c r="AB224" i="18"/>
  <c r="AB225" i="18"/>
  <c r="AB226" i="18"/>
  <c r="AB227" i="18"/>
  <c r="AB228" i="18"/>
  <c r="AB229" i="18"/>
  <c r="AB230" i="18"/>
  <c r="AB231" i="18"/>
  <c r="AB232" i="18"/>
  <c r="AB233" i="18"/>
  <c r="AB234" i="18"/>
  <c r="AB235" i="18"/>
  <c r="AB236" i="18"/>
  <c r="AB237" i="18"/>
  <c r="AB238" i="18"/>
  <c r="AB239" i="18"/>
  <c r="AB240" i="18"/>
  <c r="AB241" i="18"/>
  <c r="AB242" i="18"/>
  <c r="AB243" i="18"/>
  <c r="AB244" i="18"/>
  <c r="AB245" i="18"/>
  <c r="AB246" i="18"/>
  <c r="AB247" i="18"/>
  <c r="AB248" i="18"/>
  <c r="AB249" i="18"/>
  <c r="AB250" i="18"/>
  <c r="AB251" i="18"/>
  <c r="AB252" i="18"/>
  <c r="AB253" i="18"/>
  <c r="AB254" i="18"/>
  <c r="AB255" i="18"/>
  <c r="AB256" i="18"/>
  <c r="AB257" i="18"/>
  <c r="AB258" i="18"/>
  <c r="AB259" i="18"/>
  <c r="AB260" i="18"/>
  <c r="AB261" i="18"/>
  <c r="AB262" i="18"/>
  <c r="AB263" i="18"/>
  <c r="AB264" i="18"/>
  <c r="AB265" i="18"/>
  <c r="AB266" i="18"/>
  <c r="AB267" i="18"/>
  <c r="AB268" i="18"/>
  <c r="AB269" i="18"/>
  <c r="AB270" i="18"/>
  <c r="AB271" i="18"/>
  <c r="AB272" i="18"/>
  <c r="AB273" i="18"/>
  <c r="AB274" i="18"/>
  <c r="AB275" i="18"/>
  <c r="AB276" i="18"/>
  <c r="AB277" i="18"/>
  <c r="AB278" i="18"/>
  <c r="AB279" i="18"/>
  <c r="AB280" i="18"/>
  <c r="AB281" i="18"/>
  <c r="AB282" i="18"/>
  <c r="AB283" i="18"/>
  <c r="AB284" i="18"/>
  <c r="AB285" i="18"/>
  <c r="AB286" i="18"/>
  <c r="AB287" i="18"/>
  <c r="AB288" i="18"/>
  <c r="AB289" i="18"/>
  <c r="AB290" i="18"/>
  <c r="AB291" i="18"/>
  <c r="AB292" i="18"/>
  <c r="AB293" i="18"/>
  <c r="AB294" i="18"/>
  <c r="AB295" i="18"/>
  <c r="AB296" i="18"/>
  <c r="AB297" i="18"/>
  <c r="AB298" i="18"/>
  <c r="AB299" i="18"/>
  <c r="AB300" i="18"/>
  <c r="AB301" i="18"/>
  <c r="AB302" i="18"/>
  <c r="AB303" i="18"/>
  <c r="AB304" i="18"/>
  <c r="AB305" i="18"/>
  <c r="AB306" i="18"/>
  <c r="AB307" i="18"/>
  <c r="AB308" i="18"/>
  <c r="AB309" i="18"/>
  <c r="AB310" i="18"/>
  <c r="AB311" i="18"/>
  <c r="AB312" i="18"/>
  <c r="AB313" i="18"/>
  <c r="AB314" i="18"/>
  <c r="AB315" i="18"/>
  <c r="AB316" i="18"/>
  <c r="AB317" i="18"/>
  <c r="AB318" i="18"/>
  <c r="AB319" i="18"/>
  <c r="AB320" i="18"/>
  <c r="AB321" i="18"/>
  <c r="AB322" i="18"/>
  <c r="AB323" i="18"/>
  <c r="AB324" i="18"/>
  <c r="AB325" i="18"/>
  <c r="AB326" i="18"/>
  <c r="AB327" i="18"/>
  <c r="AB328" i="18"/>
  <c r="AB329" i="18"/>
  <c r="AB330" i="18"/>
  <c r="AB331" i="18"/>
  <c r="AB332" i="18"/>
  <c r="AB333" i="18"/>
  <c r="AB334" i="18"/>
  <c r="AB335" i="18"/>
  <c r="AB336" i="18"/>
  <c r="AB337" i="18"/>
  <c r="AB338" i="18"/>
  <c r="AB339" i="18"/>
  <c r="AB340" i="18"/>
  <c r="AB341" i="18"/>
  <c r="AB342" i="18"/>
  <c r="AB343" i="18"/>
  <c r="AB344" i="18"/>
  <c r="AB345" i="18"/>
  <c r="AB346" i="18"/>
  <c r="AB347" i="18"/>
  <c r="AB348" i="18"/>
  <c r="AB349" i="18"/>
  <c r="AB350" i="18"/>
  <c r="AB351" i="18"/>
  <c r="AB352" i="18"/>
  <c r="AB353" i="18"/>
  <c r="AB354" i="18"/>
  <c r="AB355" i="18"/>
  <c r="AB356" i="18"/>
  <c r="AB357" i="18"/>
  <c r="AB358" i="18"/>
  <c r="AB359" i="18"/>
  <c r="AB360" i="18"/>
  <c r="AB361" i="18"/>
  <c r="AB362" i="18"/>
  <c r="AB363" i="18"/>
  <c r="AB364" i="18"/>
  <c r="AB365" i="18"/>
  <c r="AB366" i="18"/>
  <c r="AB367" i="18"/>
  <c r="AB368" i="18"/>
  <c r="AB369" i="18"/>
  <c r="AB370" i="18"/>
  <c r="AB371" i="18"/>
  <c r="AB372" i="18"/>
  <c r="AB373" i="18"/>
  <c r="AB374" i="18"/>
  <c r="AB375" i="18"/>
  <c r="AB376" i="18"/>
  <c r="AB377" i="18"/>
  <c r="AB378" i="18"/>
  <c r="AB379" i="18"/>
  <c r="AB380" i="18"/>
  <c r="AB381" i="18"/>
  <c r="AB382" i="18"/>
  <c r="AB383" i="18"/>
  <c r="AB384" i="18"/>
  <c r="AB385" i="18"/>
  <c r="AB386" i="18"/>
  <c r="AB387" i="18"/>
  <c r="AB388" i="18"/>
  <c r="AB389" i="18"/>
  <c r="AB390" i="18"/>
  <c r="AB391" i="18"/>
  <c r="AB392" i="18"/>
  <c r="AB393" i="18"/>
  <c r="AB394" i="18"/>
  <c r="AB395" i="18"/>
  <c r="AB396" i="18"/>
  <c r="AB397" i="18"/>
  <c r="AB398" i="18"/>
  <c r="AB399" i="18"/>
  <c r="AB400" i="18"/>
  <c r="AB401" i="18"/>
  <c r="AB402" i="18"/>
  <c r="AB403" i="18"/>
  <c r="AB404" i="18"/>
  <c r="AB405" i="18"/>
  <c r="AB406" i="18"/>
  <c r="AB407" i="18"/>
  <c r="AB408" i="18"/>
  <c r="AB409" i="18"/>
  <c r="AB410" i="18"/>
  <c r="AB411" i="18"/>
  <c r="AB412" i="18"/>
  <c r="AB413" i="18"/>
  <c r="AB414" i="18"/>
  <c r="AB415" i="18"/>
  <c r="AB416" i="18"/>
  <c r="AB417" i="18"/>
  <c r="AB418" i="18"/>
  <c r="AB419" i="18"/>
  <c r="AB420" i="18"/>
  <c r="AB421" i="18"/>
  <c r="AB422" i="18"/>
  <c r="AB423" i="18"/>
  <c r="AB424" i="18"/>
  <c r="AB425" i="18"/>
  <c r="AB426" i="18"/>
  <c r="AB427" i="18"/>
  <c r="AB428" i="18"/>
  <c r="AB429" i="18"/>
  <c r="AB430" i="18"/>
  <c r="AB431" i="18"/>
  <c r="AB432" i="18"/>
  <c r="AB433" i="18"/>
  <c r="AB434" i="18"/>
  <c r="AB435" i="18"/>
  <c r="AB436" i="18"/>
  <c r="AB437" i="18"/>
  <c r="AB438" i="18"/>
  <c r="AB439" i="18"/>
  <c r="AB440" i="18"/>
  <c r="AB441" i="18"/>
  <c r="AB442" i="18"/>
  <c r="AB443" i="18"/>
  <c r="AB444" i="18"/>
  <c r="AB445" i="18"/>
  <c r="AB446" i="18"/>
  <c r="AB447" i="18"/>
  <c r="AB448" i="18"/>
  <c r="AB449" i="18"/>
  <c r="AB450" i="18"/>
  <c r="AB451" i="18"/>
  <c r="AB452" i="18"/>
  <c r="AB453" i="18"/>
  <c r="AB454" i="18"/>
  <c r="AB455" i="18"/>
  <c r="AB456" i="18"/>
  <c r="AB457" i="18"/>
  <c r="AB458" i="18"/>
  <c r="AB459" i="18"/>
  <c r="AB460" i="18"/>
  <c r="AB461" i="18"/>
  <c r="AB462" i="18"/>
  <c r="AB463" i="18"/>
  <c r="AB464" i="18"/>
  <c r="AB465" i="18"/>
  <c r="AB466" i="18"/>
  <c r="AB467" i="18"/>
  <c r="AB468" i="18"/>
  <c r="AB469" i="18"/>
  <c r="AB470" i="18"/>
  <c r="AB471" i="18"/>
  <c r="AB472" i="18"/>
  <c r="AB473" i="18"/>
  <c r="AB474" i="18"/>
  <c r="AB475" i="18"/>
  <c r="AB476" i="18"/>
  <c r="AB477" i="18"/>
  <c r="AB478" i="18"/>
  <c r="AB479" i="18"/>
  <c r="AB480" i="18"/>
  <c r="AB481" i="18"/>
  <c r="AB482" i="18"/>
  <c r="AB483" i="18"/>
  <c r="AB484" i="18"/>
  <c r="AB485" i="18"/>
  <c r="AB486" i="18"/>
  <c r="AB487" i="18"/>
  <c r="AB488" i="18"/>
  <c r="AB489" i="18"/>
  <c r="AB490" i="18"/>
  <c r="AB491" i="18"/>
  <c r="AB492" i="18"/>
  <c r="AB493" i="18"/>
  <c r="AB494" i="18"/>
  <c r="AB495" i="18"/>
  <c r="AB496" i="18"/>
  <c r="AB497" i="18"/>
  <c r="AB498" i="18"/>
  <c r="AB499" i="18"/>
  <c r="AB500" i="18"/>
  <c r="AB501" i="18"/>
  <c r="AB502" i="18"/>
  <c r="AB503" i="18"/>
  <c r="AB504" i="18"/>
  <c r="AB505" i="18"/>
  <c r="AB506" i="18"/>
  <c r="AB507" i="18"/>
  <c r="AB508" i="18"/>
  <c r="AB509" i="18"/>
  <c r="AB510" i="18"/>
  <c r="AB511" i="18"/>
  <c r="AB512" i="18"/>
  <c r="AB513" i="18"/>
  <c r="AB514" i="18"/>
  <c r="AB515" i="18"/>
  <c r="AB516" i="18"/>
  <c r="AB517" i="18"/>
  <c r="AB518" i="18"/>
  <c r="AB519" i="18"/>
  <c r="AB520" i="18"/>
  <c r="AB521" i="18"/>
  <c r="AB522" i="18"/>
  <c r="AB523" i="18"/>
  <c r="AB524" i="18"/>
  <c r="AB525" i="18"/>
  <c r="AB526" i="18"/>
  <c r="AB527" i="18"/>
  <c r="AB528" i="18"/>
  <c r="AB529" i="18"/>
  <c r="AB530" i="18"/>
  <c r="AB531" i="18"/>
  <c r="AB532" i="18"/>
  <c r="AB533" i="18"/>
  <c r="AB534" i="18"/>
  <c r="AB535" i="18"/>
  <c r="AB536" i="18"/>
  <c r="AB537" i="18"/>
  <c r="AB538" i="18"/>
  <c r="AB539" i="18"/>
  <c r="AB540" i="18"/>
  <c r="AB541" i="18"/>
  <c r="AB542" i="18"/>
  <c r="AB543" i="18"/>
  <c r="AB544" i="18"/>
  <c r="AB545" i="18"/>
  <c r="AB546" i="18"/>
  <c r="AB547" i="18"/>
  <c r="AB548" i="18"/>
  <c r="AB549" i="18"/>
  <c r="AB550" i="18"/>
  <c r="AB551" i="18"/>
  <c r="AB552" i="18"/>
  <c r="AB553" i="18"/>
  <c r="AB554" i="18"/>
  <c r="AB555" i="18"/>
  <c r="AB556" i="18"/>
  <c r="AB557" i="18"/>
  <c r="AB558" i="18"/>
  <c r="AB559" i="18"/>
  <c r="AB560" i="18"/>
  <c r="AB561" i="18"/>
  <c r="AB562" i="18"/>
  <c r="AB563" i="18"/>
  <c r="AB564" i="18"/>
  <c r="AB565" i="18"/>
  <c r="AB566" i="18"/>
  <c r="AB567" i="18"/>
  <c r="AB568" i="18"/>
  <c r="AB569" i="18"/>
  <c r="AB570" i="18"/>
  <c r="AB571" i="18"/>
  <c r="AB572" i="18"/>
  <c r="AB573" i="18"/>
  <c r="AB574" i="18"/>
  <c r="AB575" i="18"/>
  <c r="AB576" i="18"/>
  <c r="AB577" i="18"/>
  <c r="AB578" i="18"/>
  <c r="AB579" i="18"/>
  <c r="AB580" i="18"/>
  <c r="AB581" i="18"/>
  <c r="AB582" i="18"/>
  <c r="AB583" i="18"/>
  <c r="AB584" i="18"/>
  <c r="AB585" i="18"/>
  <c r="AB586" i="18"/>
  <c r="AB587" i="18"/>
  <c r="AB588" i="18"/>
  <c r="AB589" i="18"/>
  <c r="AB590" i="18"/>
  <c r="AB591" i="18"/>
  <c r="AB592" i="18"/>
  <c r="AB593" i="18"/>
  <c r="AB594" i="18"/>
  <c r="AB595" i="18"/>
  <c r="AB596" i="18"/>
  <c r="AB597" i="18"/>
  <c r="AB598" i="18"/>
  <c r="AB599" i="18"/>
  <c r="AB600" i="18"/>
  <c r="AB601" i="18"/>
  <c r="AB602" i="18"/>
  <c r="AB603" i="18"/>
  <c r="AB604" i="18"/>
  <c r="AB605" i="18"/>
  <c r="AB606" i="18"/>
  <c r="AB607" i="18"/>
  <c r="AB608" i="18"/>
  <c r="AB609" i="18"/>
  <c r="AB610" i="18"/>
  <c r="AB611" i="18"/>
  <c r="AB612" i="18"/>
  <c r="AB613" i="18"/>
  <c r="AB614" i="18"/>
  <c r="AB615" i="18"/>
  <c r="AB616" i="18"/>
  <c r="AB617" i="18"/>
  <c r="AB618" i="18"/>
  <c r="AB619" i="18"/>
  <c r="AB620" i="18"/>
  <c r="AB621" i="18"/>
  <c r="AB622" i="18"/>
  <c r="AB623" i="18"/>
  <c r="AB624" i="18"/>
  <c r="AB625" i="18"/>
  <c r="AB626" i="18"/>
  <c r="AB627" i="18"/>
  <c r="AB628" i="18"/>
  <c r="AB629" i="18"/>
  <c r="AB630" i="18"/>
  <c r="AB631" i="18"/>
  <c r="AB632" i="18"/>
  <c r="AB633" i="18"/>
  <c r="AB634" i="18"/>
  <c r="AB635" i="18"/>
  <c r="AB636" i="18"/>
  <c r="AB637" i="18"/>
  <c r="AB638" i="18"/>
  <c r="AB639" i="18"/>
  <c r="AB640" i="18"/>
  <c r="AB641" i="18"/>
  <c r="AB642" i="18"/>
  <c r="AB643" i="18"/>
  <c r="AB644" i="18"/>
  <c r="AB645" i="18"/>
  <c r="AB646" i="18"/>
  <c r="AB647" i="18"/>
  <c r="AB648" i="18"/>
  <c r="AB649" i="18"/>
  <c r="AB650" i="18"/>
  <c r="AB651" i="18"/>
  <c r="AB652" i="18"/>
  <c r="AB653" i="18"/>
  <c r="AB654" i="18"/>
  <c r="AB655" i="18"/>
  <c r="AB656" i="18"/>
  <c r="AB657" i="18"/>
  <c r="AB658" i="18"/>
  <c r="AB659" i="18"/>
  <c r="AB660" i="18"/>
  <c r="AB661" i="18"/>
  <c r="AB662" i="18"/>
  <c r="AB663" i="18"/>
  <c r="AB664" i="18"/>
  <c r="AB665" i="18"/>
  <c r="AB666" i="18"/>
  <c r="AB667" i="18"/>
  <c r="AB668" i="18"/>
  <c r="AB669" i="18"/>
  <c r="AB670" i="18"/>
  <c r="AB671" i="18"/>
  <c r="AB672" i="18"/>
  <c r="AB673" i="18"/>
  <c r="AB674" i="18"/>
  <c r="AB675" i="18"/>
  <c r="AB676" i="18"/>
  <c r="AB677" i="18"/>
  <c r="AB678" i="18"/>
  <c r="AB679" i="18"/>
  <c r="AB680" i="18"/>
  <c r="AB681" i="18"/>
  <c r="AB682" i="18"/>
  <c r="AB683" i="18"/>
  <c r="AB684" i="18"/>
  <c r="AB685" i="18"/>
  <c r="AB686" i="18"/>
  <c r="AB687" i="18"/>
  <c r="AB688" i="18"/>
  <c r="AB689" i="18"/>
  <c r="AB690" i="18"/>
  <c r="AB691" i="18"/>
  <c r="AB692" i="18"/>
  <c r="AB693" i="18"/>
  <c r="AB694" i="18"/>
  <c r="AB695" i="18"/>
  <c r="AB696" i="18"/>
  <c r="AB697" i="18"/>
  <c r="AB698" i="18"/>
  <c r="AB699" i="18"/>
  <c r="AB700" i="18"/>
  <c r="AB701" i="18"/>
  <c r="AB702" i="18"/>
  <c r="AB703" i="18"/>
  <c r="AB704" i="18"/>
  <c r="AB705" i="18"/>
  <c r="AB706" i="18"/>
  <c r="AB707" i="18"/>
  <c r="AB708" i="18"/>
  <c r="AB709" i="18"/>
  <c r="AB710" i="18"/>
  <c r="AB711" i="18"/>
  <c r="AB712" i="18"/>
  <c r="AB713" i="18"/>
  <c r="AB714" i="18"/>
  <c r="AB715" i="18"/>
  <c r="AB716" i="18"/>
  <c r="AB717" i="18"/>
  <c r="AB718" i="18"/>
  <c r="AB719" i="18"/>
  <c r="AB720" i="18"/>
  <c r="AB721" i="18"/>
  <c r="AB722" i="18"/>
  <c r="AB723" i="18"/>
  <c r="AB724" i="18"/>
  <c r="AB725" i="18"/>
  <c r="AB726" i="18"/>
  <c r="AB727" i="18"/>
  <c r="AB728" i="18"/>
  <c r="AB729" i="18"/>
  <c r="AB730" i="18"/>
  <c r="AB731" i="18"/>
  <c r="AB732" i="18"/>
  <c r="AB733" i="18"/>
  <c r="AB734" i="18"/>
  <c r="AB735" i="18"/>
  <c r="AB736" i="18"/>
  <c r="AB737" i="18"/>
  <c r="AB738" i="18"/>
  <c r="AB739" i="18"/>
  <c r="AB740" i="18"/>
  <c r="AB741" i="18"/>
  <c r="AB742" i="18"/>
  <c r="AB743" i="18"/>
  <c r="AB744" i="18"/>
  <c r="AB745" i="18"/>
  <c r="AB746" i="18"/>
  <c r="AB747" i="18"/>
  <c r="AB748" i="18"/>
  <c r="AB749" i="18"/>
  <c r="AB750" i="18"/>
  <c r="AB751" i="18"/>
  <c r="AB752" i="18"/>
  <c r="AB753" i="18"/>
  <c r="AB754" i="18"/>
  <c r="AB755" i="18"/>
  <c r="AB756" i="18"/>
  <c r="AB757" i="18"/>
  <c r="AB758" i="18"/>
  <c r="AB759" i="18"/>
  <c r="AB760" i="18"/>
  <c r="AB761" i="18"/>
  <c r="AB762" i="18"/>
  <c r="AB763" i="18"/>
  <c r="AB764" i="18"/>
  <c r="AB765" i="18"/>
  <c r="AB766" i="18"/>
  <c r="AB767" i="18"/>
  <c r="AB768" i="18"/>
  <c r="AB769" i="18"/>
  <c r="AB770" i="18"/>
  <c r="AB771" i="18"/>
  <c r="AB772" i="18"/>
  <c r="AB773" i="18"/>
  <c r="AB774" i="18"/>
  <c r="AB775" i="18"/>
  <c r="AB776" i="18"/>
  <c r="AB777" i="18"/>
  <c r="AB778" i="18"/>
  <c r="AB779" i="18"/>
  <c r="AB780" i="18"/>
  <c r="AB781" i="18"/>
  <c r="AB782" i="18"/>
  <c r="AB783" i="18"/>
  <c r="AB784" i="18"/>
  <c r="AB785" i="18"/>
  <c r="AB786" i="18"/>
  <c r="AB787" i="18"/>
  <c r="AB788" i="18"/>
  <c r="AB789" i="18"/>
  <c r="AB790" i="18"/>
  <c r="AB791" i="18"/>
  <c r="AB792" i="18"/>
  <c r="AB793" i="18"/>
  <c r="AB794" i="18"/>
  <c r="AB795" i="18"/>
  <c r="AB796" i="18"/>
  <c r="AB797" i="18"/>
  <c r="AB798" i="18"/>
  <c r="AB799" i="18"/>
  <c r="AB800" i="18"/>
  <c r="AB801" i="18"/>
  <c r="AB802" i="18"/>
  <c r="AB803" i="18"/>
  <c r="AB804" i="18"/>
  <c r="AB805" i="18"/>
  <c r="AB806" i="18"/>
  <c r="AB807" i="18"/>
  <c r="AB808" i="18"/>
  <c r="AB809" i="18"/>
  <c r="AB810" i="18"/>
  <c r="AB811" i="18"/>
  <c r="AB812" i="18"/>
  <c r="AB813" i="18"/>
  <c r="AB814" i="18"/>
  <c r="AB815" i="18"/>
  <c r="AB816" i="18"/>
  <c r="AB817" i="18"/>
  <c r="AB818" i="18"/>
  <c r="AB819" i="18"/>
  <c r="AB820" i="18"/>
  <c r="AB821" i="18"/>
  <c r="AB822" i="18"/>
  <c r="AB823" i="18"/>
  <c r="AB824" i="18"/>
  <c r="AB825" i="18"/>
  <c r="AB826" i="18"/>
  <c r="AB827" i="18"/>
  <c r="AB828" i="18"/>
  <c r="AB829" i="18"/>
  <c r="AB830" i="18"/>
  <c r="AB831" i="18"/>
  <c r="AB832" i="18"/>
  <c r="AB833" i="18"/>
  <c r="AB834" i="18"/>
  <c r="AB835" i="18"/>
  <c r="AB836" i="18"/>
  <c r="AB837" i="18"/>
  <c r="AB838" i="18"/>
  <c r="AB839" i="18"/>
  <c r="AB840" i="18"/>
  <c r="AB841" i="18"/>
  <c r="AB5" i="18"/>
  <c r="AM49" i="21"/>
  <c r="O49" i="21"/>
  <c r="AM48" i="21"/>
  <c r="O48" i="21"/>
  <c r="AM47" i="21"/>
  <c r="O47" i="21"/>
  <c r="AM46" i="21"/>
  <c r="O46" i="21"/>
  <c r="AM45" i="21"/>
  <c r="O45" i="21"/>
  <c r="AM44" i="21"/>
  <c r="O44" i="21"/>
  <c r="AM43" i="21"/>
  <c r="O43" i="21"/>
  <c r="AM42" i="21"/>
  <c r="O42" i="21"/>
  <c r="AM41" i="21"/>
  <c r="O41" i="21"/>
  <c r="AM40" i="21"/>
  <c r="O40" i="21"/>
  <c r="AM39" i="21"/>
  <c r="O39" i="21"/>
  <c r="AM38" i="21"/>
  <c r="O38" i="21"/>
  <c r="AM37" i="21"/>
  <c r="O37" i="21"/>
  <c r="AM36" i="21"/>
  <c r="O36" i="21"/>
  <c r="AM35" i="21"/>
  <c r="O35" i="21"/>
  <c r="AM34" i="21"/>
  <c r="O34" i="21"/>
  <c r="AM33" i="21"/>
  <c r="O33" i="21"/>
  <c r="AM32" i="21"/>
  <c r="O32" i="21"/>
  <c r="AM31" i="21"/>
  <c r="O31" i="21"/>
  <c r="AM30" i="21"/>
  <c r="O30" i="21"/>
  <c r="AM29" i="21"/>
  <c r="O29" i="21"/>
  <c r="AM28" i="21"/>
  <c r="O28" i="21"/>
  <c r="AM27" i="21"/>
  <c r="O27" i="21"/>
  <c r="AM26" i="21"/>
  <c r="O26" i="21"/>
  <c r="AM25" i="21"/>
  <c r="O25" i="21"/>
  <c r="AM24" i="21"/>
  <c r="O24" i="21"/>
  <c r="AM23" i="21"/>
  <c r="O23" i="21"/>
  <c r="AM22" i="21"/>
  <c r="O22" i="21"/>
  <c r="AM21" i="21"/>
  <c r="O21" i="21"/>
  <c r="AM20" i="21"/>
  <c r="O20" i="21"/>
  <c r="AM19" i="21"/>
  <c r="O19" i="21"/>
  <c r="AM18" i="21"/>
  <c r="O18" i="21"/>
  <c r="N25" i="20"/>
  <c r="M25" i="20"/>
  <c r="N24" i="20"/>
  <c r="M24" i="20"/>
  <c r="N23" i="20"/>
  <c r="M23" i="20"/>
  <c r="N22" i="20"/>
  <c r="M22" i="20"/>
  <c r="N21" i="20"/>
  <c r="M21" i="20"/>
  <c r="N20" i="20"/>
  <c r="M20" i="20"/>
  <c r="N19" i="20"/>
  <c r="M19" i="20"/>
  <c r="N18" i="20"/>
  <c r="M18" i="20"/>
  <c r="N17" i="20"/>
  <c r="M17" i="20"/>
  <c r="N16" i="20"/>
  <c r="M16" i="20"/>
  <c r="N15" i="20"/>
  <c r="M15" i="20"/>
  <c r="N14" i="20"/>
  <c r="M14" i="20"/>
  <c r="N13" i="20"/>
  <c r="M13" i="20"/>
  <c r="N12" i="20"/>
  <c r="M12" i="20"/>
  <c r="N11" i="20"/>
  <c r="M11" i="20"/>
  <c r="N10" i="20"/>
  <c r="M10" i="20"/>
  <c r="N9" i="20"/>
  <c r="M9" i="20"/>
  <c r="N8" i="20"/>
  <c r="M8" i="20"/>
  <c r="L8" i="20"/>
  <c r="L9" i="20"/>
  <c r="L10" i="20"/>
  <c r="L11" i="20"/>
  <c r="L12" i="20"/>
  <c r="L13" i="20"/>
  <c r="L14" i="20"/>
  <c r="L15" i="20"/>
  <c r="L16" i="20"/>
  <c r="L17" i="20"/>
  <c r="L18" i="20"/>
  <c r="L19" i="20"/>
  <c r="L20" i="20"/>
  <c r="L21" i="20"/>
  <c r="L22" i="20"/>
  <c r="L23" i="20"/>
  <c r="L24" i="20"/>
  <c r="L25" i="20"/>
  <c r="K25" i="20"/>
  <c r="K24" i="20"/>
  <c r="K23" i="20"/>
  <c r="K22" i="20"/>
  <c r="K21" i="20"/>
  <c r="K20" i="20"/>
  <c r="K19" i="20"/>
  <c r="K18" i="20"/>
  <c r="K17" i="20"/>
  <c r="K16" i="20"/>
  <c r="K15" i="20"/>
  <c r="K14" i="20"/>
  <c r="K13" i="20"/>
  <c r="K12" i="20"/>
  <c r="K11" i="20"/>
  <c r="K10" i="20"/>
  <c r="K9" i="20"/>
  <c r="K8" i="20"/>
  <c r="J25" i="20"/>
  <c r="I25" i="20"/>
  <c r="J24" i="20"/>
  <c r="I24" i="20"/>
  <c r="J23" i="20"/>
  <c r="I23" i="20"/>
  <c r="J22" i="20"/>
  <c r="I22" i="20"/>
  <c r="J21" i="20"/>
  <c r="I21" i="20"/>
  <c r="J20" i="20"/>
  <c r="I20" i="20"/>
  <c r="J19" i="20"/>
  <c r="I19" i="20"/>
  <c r="J18" i="20"/>
  <c r="I18" i="20"/>
  <c r="J17" i="20"/>
  <c r="I17" i="20"/>
  <c r="J16" i="20"/>
  <c r="I16" i="20"/>
  <c r="J15" i="20"/>
  <c r="I15" i="20"/>
  <c r="J14" i="20"/>
  <c r="I14" i="20"/>
  <c r="J13" i="20"/>
  <c r="I13" i="20"/>
  <c r="J12" i="20"/>
  <c r="I12" i="20"/>
  <c r="J11" i="20"/>
  <c r="I11" i="20"/>
  <c r="J10" i="20"/>
  <c r="I10" i="20"/>
  <c r="J9" i="20"/>
  <c r="I9" i="20"/>
  <c r="J8" i="20"/>
  <c r="I8" i="20"/>
  <c r="H25" i="20"/>
  <c r="G25" i="20"/>
  <c r="H24" i="20"/>
  <c r="G24" i="20"/>
  <c r="H23" i="20"/>
  <c r="G23" i="20"/>
  <c r="H22" i="20"/>
  <c r="G22" i="20"/>
  <c r="H21" i="20"/>
  <c r="G21" i="20"/>
  <c r="H20" i="20"/>
  <c r="G20" i="20"/>
  <c r="H19" i="20"/>
  <c r="G19" i="20"/>
  <c r="H18" i="20"/>
  <c r="G18" i="20"/>
  <c r="H17" i="20"/>
  <c r="G17" i="20"/>
  <c r="H16" i="20"/>
  <c r="G16" i="20"/>
  <c r="H15" i="20"/>
  <c r="G15" i="20"/>
  <c r="H14" i="20"/>
  <c r="G14" i="20"/>
  <c r="H13" i="20"/>
  <c r="G13" i="20"/>
  <c r="H12" i="20"/>
  <c r="G12" i="20"/>
  <c r="H11" i="20"/>
  <c r="G11" i="20"/>
  <c r="H10" i="20"/>
  <c r="G10" i="20"/>
  <c r="H9" i="20"/>
  <c r="G9" i="20"/>
  <c r="H8" i="20"/>
  <c r="G8" i="20"/>
  <c r="F8" i="20"/>
  <c r="F9" i="20"/>
  <c r="F10" i="20"/>
  <c r="F11" i="20"/>
  <c r="F12" i="20"/>
  <c r="F13" i="20"/>
  <c r="F14" i="20"/>
  <c r="F15" i="20"/>
  <c r="F16" i="20"/>
  <c r="F17" i="20"/>
  <c r="F18" i="20"/>
  <c r="F19" i="20"/>
  <c r="F20" i="20"/>
  <c r="F21" i="20"/>
  <c r="F22" i="20"/>
  <c r="F23" i="20"/>
  <c r="F24" i="20"/>
  <c r="F25" i="20"/>
  <c r="E8" i="20"/>
  <c r="E9" i="20"/>
  <c r="E10" i="20"/>
  <c r="E11" i="20"/>
  <c r="E12" i="20"/>
  <c r="E13" i="20"/>
  <c r="E14" i="20"/>
  <c r="E15" i="20"/>
  <c r="E16" i="20"/>
  <c r="E17" i="20"/>
  <c r="E18" i="20"/>
  <c r="E19" i="20"/>
  <c r="E20" i="20"/>
  <c r="E21" i="20"/>
  <c r="E22" i="20"/>
  <c r="E23" i="20"/>
  <c r="E24" i="20"/>
  <c r="E25" i="20"/>
  <c r="D25" i="20"/>
  <c r="C25" i="20"/>
  <c r="D24" i="20"/>
  <c r="C24" i="20"/>
  <c r="D23" i="20"/>
  <c r="C23" i="20"/>
  <c r="D22" i="20"/>
  <c r="C22" i="20"/>
  <c r="D21" i="20"/>
  <c r="C21" i="20"/>
  <c r="D20" i="20"/>
  <c r="C20" i="20"/>
  <c r="D19" i="20"/>
  <c r="C19" i="20"/>
  <c r="D18" i="20"/>
  <c r="C18" i="20"/>
  <c r="D17" i="20"/>
  <c r="C17" i="20"/>
  <c r="D16" i="20"/>
  <c r="C16" i="20"/>
  <c r="D15" i="20"/>
  <c r="C15" i="20"/>
  <c r="D14" i="20"/>
  <c r="C14" i="20"/>
  <c r="D13" i="20"/>
  <c r="C13" i="20"/>
  <c r="D12" i="20"/>
  <c r="C12" i="20"/>
  <c r="D11" i="20"/>
  <c r="C11" i="20"/>
  <c r="D10" i="20"/>
  <c r="C10" i="20"/>
  <c r="D9" i="20"/>
  <c r="C9" i="20"/>
  <c r="D8" i="20"/>
  <c r="C8" i="20"/>
  <c r="V25" i="4"/>
  <c r="V26" i="4"/>
  <c r="V27" i="4"/>
  <c r="V28" i="4"/>
  <c r="V29" i="4"/>
  <c r="V30" i="4"/>
  <c r="V31" i="4"/>
  <c r="V32" i="4"/>
  <c r="V33" i="4"/>
  <c r="V34" i="4"/>
  <c r="V35" i="4"/>
  <c r="V36" i="4"/>
  <c r="V37" i="4"/>
  <c r="V38" i="4"/>
  <c r="V39" i="4"/>
  <c r="V40" i="4"/>
  <c r="V41" i="4"/>
  <c r="V42" i="4"/>
  <c r="V43" i="4"/>
  <c r="V44" i="4"/>
  <c r="V45" i="4"/>
  <c r="V46" i="4"/>
  <c r="V47" i="4"/>
  <c r="V48" i="4"/>
  <c r="V49" i="4"/>
  <c r="V50" i="4"/>
  <c r="V51" i="4"/>
  <c r="V52" i="4"/>
  <c r="V53" i="4"/>
  <c r="V54" i="4"/>
  <c r="V55" i="4"/>
  <c r="V24" i="4"/>
  <c r="E43" i="4"/>
  <c r="W43" i="4" s="1"/>
  <c r="AD5" i="3"/>
  <c r="AD6" i="3"/>
  <c r="AD7" i="3"/>
  <c r="AD8" i="3"/>
  <c r="AD9" i="3"/>
  <c r="AD10" i="3"/>
  <c r="AD11" i="3"/>
  <c r="AD12" i="3"/>
  <c r="AD13" i="3"/>
  <c r="AD14" i="3"/>
  <c r="AD15" i="3"/>
  <c r="AD16" i="3"/>
  <c r="AD17" i="3"/>
  <c r="AD18" i="3"/>
  <c r="AD19" i="3"/>
  <c r="AD20" i="3"/>
  <c r="AD21" i="3"/>
  <c r="AD22" i="3"/>
  <c r="AD23" i="3"/>
  <c r="AD24" i="3"/>
  <c r="AD25" i="3"/>
  <c r="AD26" i="3"/>
  <c r="AD27" i="3"/>
  <c r="AD28" i="3"/>
  <c r="AD29" i="3"/>
  <c r="AD30" i="3"/>
  <c r="AD31" i="3"/>
  <c r="AD32" i="3"/>
  <c r="AD33" i="3"/>
  <c r="AD34" i="3"/>
  <c r="AD35" i="3"/>
  <c r="AD36" i="3"/>
  <c r="AD37" i="3"/>
  <c r="AD38" i="3"/>
  <c r="AD39" i="3"/>
  <c r="AD40" i="3"/>
  <c r="AD41" i="3"/>
  <c r="AD42" i="3"/>
  <c r="AD43" i="3"/>
  <c r="AD44" i="3"/>
  <c r="AD45" i="3"/>
  <c r="AD46" i="3"/>
  <c r="AD47" i="3"/>
  <c r="AD48" i="3"/>
  <c r="AD49" i="3"/>
  <c r="AD50" i="3"/>
  <c r="AD51" i="3"/>
  <c r="AD52" i="3"/>
  <c r="AD53" i="3"/>
  <c r="AD54" i="3"/>
  <c r="AD55" i="3"/>
  <c r="AD56" i="3"/>
  <c r="AD57" i="3"/>
  <c r="AD58" i="3"/>
  <c r="AD59" i="3"/>
  <c r="AD60" i="3"/>
  <c r="AD61" i="3"/>
  <c r="AD62" i="3"/>
  <c r="AD63" i="3"/>
  <c r="AD64" i="3"/>
  <c r="AD65" i="3"/>
  <c r="AD66" i="3"/>
  <c r="AD67" i="3"/>
  <c r="AD68" i="3"/>
  <c r="AD69" i="3"/>
  <c r="AD70" i="3"/>
  <c r="AD71" i="3"/>
  <c r="AD72" i="3"/>
  <c r="AD73" i="3"/>
  <c r="AD74" i="3"/>
  <c r="AD75" i="3"/>
  <c r="AD76" i="3"/>
  <c r="AD77" i="3"/>
  <c r="AD78" i="3"/>
  <c r="AD79" i="3"/>
  <c r="AD80" i="3"/>
  <c r="AD81" i="3"/>
  <c r="AD82" i="3"/>
  <c r="AD83" i="3"/>
  <c r="AD84" i="3"/>
  <c r="AD85" i="3"/>
  <c r="AD86" i="3"/>
  <c r="AD87" i="3"/>
  <c r="AD88" i="3"/>
  <c r="AD89" i="3"/>
  <c r="AD90" i="3"/>
  <c r="AD91" i="3"/>
  <c r="AD92" i="3"/>
  <c r="AD93" i="3"/>
  <c r="AD94" i="3"/>
  <c r="AD95" i="3"/>
  <c r="AD96" i="3"/>
  <c r="AD97" i="3"/>
  <c r="AD98" i="3"/>
  <c r="AD99" i="3"/>
  <c r="AD100" i="3"/>
  <c r="AD101" i="3"/>
  <c r="AD102" i="3"/>
  <c r="AD103" i="3"/>
  <c r="AD104" i="3"/>
  <c r="AD105" i="3"/>
  <c r="AD106" i="3"/>
  <c r="AD107" i="3"/>
  <c r="AD108" i="3"/>
  <c r="AD109" i="3"/>
  <c r="AD110" i="3"/>
  <c r="AD111" i="3"/>
  <c r="AD112" i="3"/>
  <c r="AD113" i="3"/>
  <c r="AD114" i="3"/>
  <c r="AD115" i="3"/>
  <c r="AD116" i="3"/>
  <c r="AD117" i="3"/>
  <c r="AD118" i="3"/>
  <c r="AD119" i="3"/>
  <c r="AD120" i="3"/>
  <c r="AD121" i="3"/>
  <c r="AD122" i="3"/>
  <c r="AD123" i="3"/>
  <c r="AD124" i="3"/>
  <c r="AD125" i="3"/>
  <c r="AD126" i="3"/>
  <c r="AD127" i="3"/>
  <c r="AD128" i="3"/>
  <c r="AD129" i="3"/>
  <c r="AD130" i="3"/>
  <c r="AD131" i="3"/>
  <c r="AD132" i="3"/>
  <c r="AD133" i="3"/>
  <c r="AD134" i="3"/>
  <c r="AD135" i="3"/>
  <c r="AD136" i="3"/>
  <c r="AD137" i="3"/>
  <c r="AD138" i="3"/>
  <c r="AD139" i="3"/>
  <c r="AD140" i="3"/>
  <c r="AD141" i="3"/>
  <c r="AD142" i="3"/>
  <c r="AD143" i="3"/>
  <c r="AD144" i="3"/>
  <c r="AD145" i="3"/>
  <c r="AD146" i="3"/>
  <c r="AD147" i="3"/>
  <c r="AD148" i="3"/>
  <c r="AD149" i="3"/>
  <c r="AD150" i="3"/>
  <c r="AD151" i="3"/>
  <c r="AD152" i="3"/>
  <c r="AD153" i="3"/>
  <c r="AD154" i="3"/>
  <c r="AD155" i="3"/>
  <c r="AD156" i="3"/>
  <c r="AD157" i="3"/>
  <c r="AD158" i="3"/>
  <c r="AD159" i="3"/>
  <c r="AD160" i="3"/>
  <c r="AD161" i="3"/>
  <c r="AD162" i="3"/>
  <c r="AD163" i="3"/>
  <c r="AD164" i="3"/>
  <c r="AD165" i="3"/>
  <c r="AD166" i="3"/>
  <c r="AD167" i="3"/>
  <c r="AD168" i="3"/>
  <c r="AD169" i="3"/>
  <c r="AD170" i="3"/>
  <c r="AD171" i="3"/>
  <c r="AD172" i="3"/>
  <c r="AD173" i="3"/>
  <c r="AD174" i="3"/>
  <c r="AD175" i="3"/>
  <c r="AD176" i="3"/>
  <c r="AD177" i="3"/>
  <c r="AD178" i="3"/>
  <c r="AD179" i="3"/>
  <c r="AD180" i="3"/>
  <c r="AD181" i="3"/>
  <c r="AD182" i="3"/>
  <c r="AD183" i="3"/>
  <c r="AD184" i="3"/>
  <c r="AD185" i="3"/>
  <c r="AD186" i="3"/>
  <c r="AD187" i="3"/>
  <c r="AD188" i="3"/>
  <c r="AD189" i="3"/>
  <c r="AD190" i="3"/>
  <c r="AD191" i="3"/>
  <c r="AD192" i="3"/>
  <c r="AD193" i="3"/>
  <c r="AD194" i="3"/>
  <c r="AD195" i="3"/>
  <c r="AD196" i="3"/>
  <c r="AD197" i="3"/>
  <c r="AD198" i="3"/>
  <c r="AD199" i="3"/>
  <c r="AD200" i="3"/>
  <c r="AD201" i="3"/>
  <c r="AD202" i="3"/>
  <c r="AD203" i="3"/>
  <c r="AD204" i="3"/>
  <c r="AD205" i="3"/>
  <c r="AD206" i="3"/>
  <c r="AD207" i="3"/>
  <c r="AD208" i="3"/>
  <c r="AD209" i="3"/>
  <c r="AD210" i="3"/>
  <c r="AD211" i="3"/>
  <c r="AD212" i="3"/>
  <c r="AD213" i="3"/>
  <c r="AD214" i="3"/>
  <c r="AD215" i="3"/>
  <c r="AD216" i="3"/>
  <c r="AD217" i="3"/>
  <c r="AD218" i="3"/>
  <c r="AD219" i="3"/>
  <c r="AD220" i="3"/>
  <c r="AD221" i="3"/>
  <c r="AD222" i="3"/>
  <c r="AD223" i="3"/>
  <c r="AD224" i="3"/>
  <c r="AD225" i="3"/>
  <c r="AD226" i="3"/>
  <c r="AD227" i="3"/>
  <c r="AD228" i="3"/>
  <c r="AD229" i="3"/>
  <c r="AD230" i="3"/>
  <c r="AD231" i="3"/>
  <c r="AD232" i="3"/>
  <c r="AD233" i="3"/>
  <c r="AD234" i="3"/>
  <c r="AD235" i="3"/>
  <c r="AD236" i="3"/>
  <c r="AD237" i="3"/>
  <c r="AD238" i="3"/>
  <c r="AD239" i="3"/>
  <c r="AD240" i="3"/>
  <c r="AD241" i="3"/>
  <c r="AD242" i="3"/>
  <c r="AD243" i="3"/>
  <c r="AD244" i="3"/>
  <c r="AD245" i="3"/>
  <c r="AD246" i="3"/>
  <c r="AD247" i="3"/>
  <c r="AD248" i="3"/>
  <c r="AD249" i="3"/>
  <c r="AD250" i="3"/>
  <c r="AD251" i="3"/>
  <c r="AD252" i="3"/>
  <c r="AD253" i="3"/>
  <c r="AD254" i="3"/>
  <c r="AD255" i="3"/>
  <c r="AD256" i="3"/>
  <c r="AD257" i="3"/>
  <c r="AD258" i="3"/>
  <c r="AD259" i="3"/>
  <c r="AD260" i="3"/>
  <c r="AD261" i="3"/>
  <c r="AD262" i="3"/>
  <c r="AD263" i="3"/>
  <c r="AD264" i="3"/>
  <c r="AD265" i="3"/>
  <c r="AD266" i="3"/>
  <c r="AD267" i="3"/>
  <c r="AD268" i="3"/>
  <c r="AD269" i="3"/>
  <c r="AD270" i="3"/>
  <c r="AD271" i="3"/>
  <c r="AD272" i="3"/>
  <c r="AD273" i="3"/>
  <c r="AD274" i="3"/>
  <c r="AD275" i="3"/>
  <c r="AD276" i="3"/>
  <c r="AD277" i="3"/>
  <c r="AD278" i="3"/>
  <c r="AD279" i="3"/>
  <c r="AD280" i="3"/>
  <c r="AD281" i="3"/>
  <c r="AD282" i="3"/>
  <c r="AD283" i="3"/>
  <c r="AD284" i="3"/>
  <c r="AD285" i="3"/>
  <c r="AD286" i="3"/>
  <c r="AD287" i="3"/>
  <c r="AD288" i="3"/>
  <c r="AD289" i="3"/>
  <c r="AD290" i="3"/>
  <c r="AD291" i="3"/>
  <c r="AD292" i="3"/>
  <c r="AD293" i="3"/>
  <c r="AD294" i="3"/>
  <c r="AD295" i="3"/>
  <c r="AD296" i="3"/>
  <c r="AD297" i="3"/>
  <c r="AD298" i="3"/>
  <c r="AD299" i="3"/>
  <c r="AD300" i="3"/>
  <c r="AD301" i="3"/>
  <c r="AD302" i="3"/>
  <c r="AD303" i="3"/>
  <c r="AD304" i="3"/>
  <c r="AD305" i="3"/>
  <c r="AD306" i="3"/>
  <c r="AD307" i="3"/>
  <c r="AD308" i="3"/>
  <c r="AD309" i="3"/>
  <c r="AD310" i="3"/>
  <c r="AD311" i="3"/>
  <c r="AD312" i="3"/>
  <c r="AD313" i="3"/>
  <c r="AD314" i="3"/>
  <c r="AD315" i="3"/>
  <c r="AD316" i="3"/>
  <c r="AD317" i="3"/>
  <c r="AD318" i="3"/>
  <c r="AD319" i="3"/>
  <c r="AD320" i="3"/>
  <c r="AD321" i="3"/>
  <c r="AD322" i="3"/>
  <c r="AD323" i="3"/>
  <c r="AD324" i="3"/>
  <c r="AD325" i="3"/>
  <c r="AD326" i="3"/>
  <c r="AD327" i="3"/>
  <c r="AD328" i="3"/>
  <c r="AD329" i="3"/>
  <c r="AD330" i="3"/>
  <c r="AD331" i="3"/>
  <c r="AD332" i="3"/>
  <c r="AD333" i="3"/>
  <c r="AD334" i="3"/>
  <c r="AD335" i="3"/>
  <c r="AD336" i="3"/>
  <c r="AD337" i="3"/>
  <c r="AD338" i="3"/>
  <c r="AD339" i="3"/>
  <c r="AD340" i="3"/>
  <c r="AD341" i="3"/>
  <c r="AD342" i="3"/>
  <c r="AD343" i="3"/>
  <c r="AD344" i="3"/>
  <c r="AD345" i="3"/>
  <c r="AD346" i="3"/>
  <c r="AD347" i="3"/>
  <c r="AD348" i="3"/>
  <c r="AD349" i="3"/>
  <c r="AD350" i="3"/>
  <c r="AD351" i="3"/>
  <c r="AD352" i="3"/>
  <c r="AD353" i="3"/>
  <c r="AD354" i="3"/>
  <c r="AD355" i="3"/>
  <c r="AD356" i="3"/>
  <c r="AD357" i="3"/>
  <c r="AD358" i="3"/>
  <c r="AD359" i="3"/>
  <c r="AD360" i="3"/>
  <c r="AD361" i="3"/>
  <c r="AD362" i="3"/>
  <c r="AD363" i="3"/>
  <c r="AD364" i="3"/>
  <c r="AD365" i="3"/>
  <c r="AD366" i="3"/>
  <c r="AD367" i="3"/>
  <c r="AD368" i="3"/>
  <c r="AD369" i="3"/>
  <c r="AD370" i="3"/>
  <c r="AD371" i="3"/>
  <c r="AD372" i="3"/>
  <c r="AD373" i="3"/>
  <c r="AD374" i="3"/>
  <c r="AD375" i="3"/>
  <c r="AD376" i="3"/>
  <c r="AD377" i="3"/>
  <c r="AD378" i="3"/>
  <c r="AD379" i="3"/>
  <c r="AD380" i="3"/>
  <c r="AD381" i="3"/>
  <c r="AD382" i="3"/>
  <c r="AD383" i="3"/>
  <c r="AD384" i="3"/>
  <c r="AD385" i="3"/>
  <c r="AD386" i="3"/>
  <c r="AD387" i="3"/>
  <c r="AD388" i="3"/>
  <c r="AD389" i="3"/>
  <c r="AD390" i="3"/>
  <c r="AD391" i="3"/>
  <c r="AD392" i="3"/>
  <c r="AD393" i="3"/>
  <c r="AD394" i="3"/>
  <c r="AD395" i="3"/>
  <c r="AD396" i="3"/>
  <c r="AD397" i="3"/>
  <c r="AD398" i="3"/>
  <c r="AD399" i="3"/>
  <c r="AD400" i="3"/>
  <c r="AD401" i="3"/>
  <c r="AD402" i="3"/>
  <c r="AD403" i="3"/>
  <c r="AD404" i="3"/>
  <c r="AD405" i="3"/>
  <c r="AD406" i="3"/>
  <c r="AD407" i="3"/>
  <c r="AD408" i="3"/>
  <c r="AD409" i="3"/>
  <c r="AD410" i="3"/>
  <c r="AD411" i="3"/>
  <c r="AD412" i="3"/>
  <c r="AD413" i="3"/>
  <c r="AD414" i="3"/>
  <c r="AD415" i="3"/>
  <c r="AD416" i="3"/>
  <c r="AD417" i="3"/>
  <c r="AD418" i="3"/>
  <c r="AD419" i="3"/>
  <c r="AD420" i="3"/>
  <c r="AD421" i="3"/>
  <c r="AD422" i="3"/>
  <c r="AD423" i="3"/>
  <c r="AD424" i="3"/>
  <c r="AD425" i="3"/>
  <c r="AD426" i="3"/>
  <c r="AD427" i="3"/>
  <c r="AD428" i="3"/>
  <c r="AD429" i="3"/>
  <c r="AD430" i="3"/>
  <c r="AD431" i="3"/>
  <c r="AD432" i="3"/>
  <c r="AD433" i="3"/>
  <c r="AD434" i="3"/>
  <c r="AD435" i="3"/>
  <c r="AD436" i="3"/>
  <c r="AD437" i="3"/>
  <c r="AD438" i="3"/>
  <c r="AD439" i="3"/>
  <c r="AD440" i="3"/>
  <c r="AD441" i="3"/>
  <c r="AD442" i="3"/>
  <c r="AD443" i="3"/>
  <c r="AD444" i="3"/>
  <c r="AD445" i="3"/>
  <c r="AD446" i="3"/>
  <c r="AD447" i="3"/>
  <c r="AD448" i="3"/>
  <c r="AD449" i="3"/>
  <c r="AD450" i="3"/>
  <c r="AD451" i="3"/>
  <c r="AD452" i="3"/>
  <c r="AD453" i="3"/>
  <c r="AD454" i="3"/>
  <c r="AD455" i="3"/>
  <c r="AD456" i="3"/>
  <c r="AD457" i="3"/>
  <c r="AD458" i="3"/>
  <c r="AD459" i="3"/>
  <c r="AD460" i="3"/>
  <c r="AD461" i="3"/>
  <c r="AD462" i="3"/>
  <c r="AD463" i="3"/>
  <c r="AD464" i="3"/>
  <c r="AD465" i="3"/>
  <c r="AD466" i="3"/>
  <c r="AD467" i="3"/>
  <c r="AD468" i="3"/>
  <c r="AD469" i="3"/>
  <c r="AD470" i="3"/>
  <c r="AD471" i="3"/>
  <c r="AD472" i="3"/>
  <c r="AD473" i="3"/>
  <c r="AD474" i="3"/>
  <c r="AD475" i="3"/>
  <c r="AD476" i="3"/>
  <c r="AD477" i="3"/>
  <c r="AD478" i="3"/>
  <c r="AD479" i="3"/>
  <c r="AD480" i="3"/>
  <c r="AD481" i="3"/>
  <c r="AD482" i="3"/>
  <c r="AD483" i="3"/>
  <c r="AD484" i="3"/>
  <c r="AD485" i="3"/>
  <c r="AD486" i="3"/>
  <c r="AD487" i="3"/>
  <c r="AD488" i="3"/>
  <c r="AD489" i="3"/>
  <c r="AD490" i="3"/>
  <c r="AD491" i="3"/>
  <c r="AD492" i="3"/>
  <c r="AD493" i="3"/>
  <c r="AD494" i="3"/>
  <c r="AD495" i="3"/>
  <c r="AD496" i="3"/>
  <c r="AD497" i="3"/>
  <c r="AD498" i="3"/>
  <c r="AD499" i="3"/>
  <c r="AD500" i="3"/>
  <c r="AD501" i="3"/>
  <c r="AD502" i="3"/>
  <c r="AD503" i="3"/>
  <c r="AD504" i="3"/>
  <c r="AD505" i="3"/>
  <c r="AD506" i="3"/>
  <c r="AD507" i="3"/>
  <c r="AD508" i="3"/>
  <c r="AD509" i="3"/>
  <c r="AD510" i="3"/>
  <c r="AD511" i="3"/>
  <c r="AD512" i="3"/>
  <c r="AD513" i="3"/>
  <c r="AD514" i="3"/>
  <c r="AD515" i="3"/>
  <c r="AD516" i="3"/>
  <c r="AD517" i="3"/>
  <c r="AD518" i="3"/>
  <c r="AD519" i="3"/>
  <c r="AD520" i="3"/>
  <c r="AD521" i="3"/>
  <c r="AD522" i="3"/>
  <c r="AD523" i="3"/>
  <c r="AD524" i="3"/>
  <c r="AD525" i="3"/>
  <c r="AD526" i="3"/>
  <c r="AD527" i="3"/>
  <c r="AD528" i="3"/>
  <c r="AD529" i="3"/>
  <c r="AD530" i="3"/>
  <c r="AD531" i="3"/>
  <c r="AD532" i="3"/>
  <c r="AD533" i="3"/>
  <c r="AD534" i="3"/>
  <c r="AD535" i="3"/>
  <c r="AD536" i="3"/>
  <c r="AD537" i="3"/>
  <c r="AD538" i="3"/>
  <c r="AD539" i="3"/>
  <c r="AD540" i="3"/>
  <c r="AD541" i="3"/>
  <c r="AD542" i="3"/>
  <c r="AD543" i="3"/>
  <c r="AD544" i="3"/>
  <c r="AD545" i="3"/>
  <c r="AD546" i="3"/>
  <c r="AD547" i="3"/>
  <c r="AD548" i="3"/>
  <c r="AD549" i="3"/>
  <c r="AD550" i="3"/>
  <c r="AD551" i="3"/>
  <c r="AD552" i="3"/>
  <c r="AD553" i="3"/>
  <c r="AD554" i="3"/>
  <c r="AD555" i="3"/>
  <c r="AD556" i="3"/>
  <c r="AD557" i="3"/>
  <c r="AD558" i="3"/>
  <c r="AD559" i="3"/>
  <c r="AD560" i="3"/>
  <c r="AD561" i="3"/>
  <c r="AD562" i="3"/>
  <c r="AD563" i="3"/>
  <c r="AD564" i="3"/>
  <c r="AD565" i="3"/>
  <c r="AD566" i="3"/>
  <c r="AD567" i="3"/>
  <c r="AD568" i="3"/>
  <c r="AD569" i="3"/>
  <c r="AD570" i="3"/>
  <c r="AD571" i="3"/>
  <c r="AD572" i="3"/>
  <c r="AD573" i="3"/>
  <c r="AD574" i="3"/>
  <c r="AD575" i="3"/>
  <c r="AD576" i="3"/>
  <c r="AD577" i="3"/>
  <c r="AD578" i="3"/>
  <c r="AD579" i="3"/>
  <c r="AD580" i="3"/>
  <c r="AD581" i="3"/>
  <c r="AD582" i="3"/>
  <c r="AD583" i="3"/>
  <c r="AD584" i="3"/>
  <c r="AD585" i="3"/>
  <c r="AD586" i="3"/>
  <c r="AD587" i="3"/>
  <c r="AD588" i="3"/>
  <c r="AD589" i="3"/>
  <c r="AD590" i="3"/>
  <c r="AD591" i="3"/>
  <c r="AD592" i="3"/>
  <c r="AD593" i="3"/>
  <c r="AD594" i="3"/>
  <c r="AD595" i="3"/>
  <c r="AD596" i="3"/>
  <c r="AD597" i="3"/>
  <c r="AD598" i="3"/>
  <c r="AD599" i="3"/>
  <c r="AD600" i="3"/>
  <c r="AD601" i="3"/>
  <c r="AD602" i="3"/>
  <c r="AD603" i="3"/>
  <c r="AD604" i="3"/>
  <c r="AD605" i="3"/>
  <c r="AD606" i="3"/>
  <c r="AD607" i="3"/>
  <c r="AD608" i="3"/>
  <c r="AD609" i="3"/>
  <c r="AD610" i="3"/>
  <c r="AD611" i="3"/>
  <c r="AD612" i="3"/>
  <c r="U280" i="3"/>
  <c r="U281" i="3"/>
  <c r="U282" i="3"/>
  <c r="U283" i="3"/>
  <c r="U284" i="3"/>
  <c r="U6" i="3"/>
  <c r="U7" i="3"/>
  <c r="U8" i="3"/>
  <c r="U9" i="3"/>
  <c r="U10" i="3"/>
  <c r="U11" i="3"/>
  <c r="U12" i="3"/>
  <c r="U13" i="3"/>
  <c r="U14" i="3"/>
  <c r="U15" i="3"/>
  <c r="U16" i="3"/>
  <c r="U17" i="3"/>
  <c r="U18" i="3"/>
  <c r="U19" i="3"/>
  <c r="U20" i="3"/>
  <c r="U21" i="3"/>
  <c r="U22" i="3"/>
  <c r="U23" i="3"/>
  <c r="U24" i="3"/>
  <c r="U25" i="3"/>
  <c r="U26" i="3"/>
  <c r="U27" i="3"/>
  <c r="U28" i="3"/>
  <c r="U29" i="3"/>
  <c r="U30" i="3"/>
  <c r="U31" i="3"/>
  <c r="U32" i="3"/>
  <c r="U33" i="3"/>
  <c r="U34" i="3"/>
  <c r="U35" i="3"/>
  <c r="U36" i="3"/>
  <c r="U37" i="3"/>
  <c r="U38" i="3"/>
  <c r="U39" i="3"/>
  <c r="U40" i="3"/>
  <c r="U41" i="3"/>
  <c r="U42" i="3"/>
  <c r="U43" i="3"/>
  <c r="U44" i="3"/>
  <c r="U45" i="3"/>
  <c r="U46" i="3"/>
  <c r="U47" i="3"/>
  <c r="U48" i="3"/>
  <c r="U49" i="3"/>
  <c r="U50" i="3"/>
  <c r="U51" i="3"/>
  <c r="U52" i="3"/>
  <c r="U53" i="3"/>
  <c r="U54" i="3"/>
  <c r="U55" i="3"/>
  <c r="U56" i="3"/>
  <c r="U57" i="3"/>
  <c r="U58" i="3"/>
  <c r="U59" i="3"/>
  <c r="U60" i="3"/>
  <c r="U61" i="3"/>
  <c r="U62" i="3"/>
  <c r="U63" i="3"/>
  <c r="U64" i="3"/>
  <c r="U65" i="3"/>
  <c r="U66" i="3"/>
  <c r="U67" i="3"/>
  <c r="U68" i="3"/>
  <c r="U69" i="3"/>
  <c r="U70" i="3"/>
  <c r="U71" i="3"/>
  <c r="U72" i="3"/>
  <c r="U73" i="3"/>
  <c r="U74" i="3"/>
  <c r="U75" i="3"/>
  <c r="U76" i="3"/>
  <c r="U77" i="3"/>
  <c r="U78" i="3"/>
  <c r="U79" i="3"/>
  <c r="U80" i="3"/>
  <c r="U81" i="3"/>
  <c r="U82" i="3"/>
  <c r="U83" i="3"/>
  <c r="U84" i="3"/>
  <c r="U85" i="3"/>
  <c r="U86" i="3"/>
  <c r="U87" i="3"/>
  <c r="U88" i="3"/>
  <c r="U89" i="3"/>
  <c r="U90" i="3"/>
  <c r="U91" i="3"/>
  <c r="U92" i="3"/>
  <c r="U93" i="3"/>
  <c r="U94" i="3"/>
  <c r="U95" i="3"/>
  <c r="U96" i="3"/>
  <c r="U97" i="3"/>
  <c r="U98" i="3"/>
  <c r="U99" i="3"/>
  <c r="U100" i="3"/>
  <c r="U101" i="3"/>
  <c r="U102" i="3"/>
  <c r="U103" i="3"/>
  <c r="U104" i="3"/>
  <c r="U105" i="3"/>
  <c r="U106" i="3"/>
  <c r="U107" i="3"/>
  <c r="U108" i="3"/>
  <c r="U109" i="3"/>
  <c r="U110" i="3"/>
  <c r="U111" i="3"/>
  <c r="U112" i="3"/>
  <c r="U113" i="3"/>
  <c r="U114" i="3"/>
  <c r="U115" i="3"/>
  <c r="U116" i="3"/>
  <c r="U117" i="3"/>
  <c r="U118" i="3"/>
  <c r="U119" i="3"/>
  <c r="U120" i="3"/>
  <c r="U121" i="3"/>
  <c r="U122" i="3"/>
  <c r="U123" i="3"/>
  <c r="U124" i="3"/>
  <c r="U125" i="3"/>
  <c r="U126" i="3"/>
  <c r="U127" i="3"/>
  <c r="U128" i="3"/>
  <c r="U129" i="3"/>
  <c r="U130" i="3"/>
  <c r="U131" i="3"/>
  <c r="U132" i="3"/>
  <c r="U133" i="3"/>
  <c r="U134" i="3"/>
  <c r="U135" i="3"/>
  <c r="U136" i="3"/>
  <c r="U137" i="3"/>
  <c r="U138" i="3"/>
  <c r="U139" i="3"/>
  <c r="U140" i="3"/>
  <c r="U141" i="3"/>
  <c r="U142" i="3"/>
  <c r="U143" i="3"/>
  <c r="U144" i="3"/>
  <c r="U145" i="3"/>
  <c r="U146" i="3"/>
  <c r="U147" i="3"/>
  <c r="U148" i="3"/>
  <c r="U149" i="3"/>
  <c r="U150" i="3"/>
  <c r="U151" i="3"/>
  <c r="U152" i="3"/>
  <c r="U153" i="3"/>
  <c r="U154" i="3"/>
  <c r="U155" i="3"/>
  <c r="U156" i="3"/>
  <c r="U157" i="3"/>
  <c r="U158" i="3"/>
  <c r="U159" i="3"/>
  <c r="U160" i="3"/>
  <c r="U161" i="3"/>
  <c r="U162" i="3"/>
  <c r="U163" i="3"/>
  <c r="U164" i="3"/>
  <c r="U165" i="3"/>
  <c r="U166" i="3"/>
  <c r="U167" i="3"/>
  <c r="U168" i="3"/>
  <c r="U169" i="3"/>
  <c r="U170" i="3"/>
  <c r="U171" i="3"/>
  <c r="U172" i="3"/>
  <c r="U173" i="3"/>
  <c r="U174" i="3"/>
  <c r="U175" i="3"/>
  <c r="U176" i="3"/>
  <c r="U177" i="3"/>
  <c r="U178" i="3"/>
  <c r="U179" i="3"/>
  <c r="U180" i="3"/>
  <c r="U181" i="3"/>
  <c r="U182" i="3"/>
  <c r="U183" i="3"/>
  <c r="U184" i="3"/>
  <c r="U185" i="3"/>
  <c r="U186" i="3"/>
  <c r="U187" i="3"/>
  <c r="U188" i="3"/>
  <c r="U189" i="3"/>
  <c r="U190" i="3"/>
  <c r="U191" i="3"/>
  <c r="U192" i="3"/>
  <c r="U193" i="3"/>
  <c r="U194" i="3"/>
  <c r="U195" i="3"/>
  <c r="U196" i="3"/>
  <c r="U197" i="3"/>
  <c r="U198" i="3"/>
  <c r="U199" i="3"/>
  <c r="U200" i="3"/>
  <c r="U201" i="3"/>
  <c r="U202" i="3"/>
  <c r="U203" i="3"/>
  <c r="U204" i="3"/>
  <c r="U205" i="3"/>
  <c r="U206" i="3"/>
  <c r="U207" i="3"/>
  <c r="U208" i="3"/>
  <c r="U209" i="3"/>
  <c r="U210" i="3"/>
  <c r="U211" i="3"/>
  <c r="U212" i="3"/>
  <c r="U213" i="3"/>
  <c r="U214" i="3"/>
  <c r="U215" i="3"/>
  <c r="U216" i="3"/>
  <c r="U217" i="3"/>
  <c r="U218" i="3"/>
  <c r="U219" i="3"/>
  <c r="U220" i="3"/>
  <c r="U221" i="3"/>
  <c r="U222" i="3"/>
  <c r="U223" i="3"/>
  <c r="U224" i="3"/>
  <c r="U225" i="3"/>
  <c r="U226" i="3"/>
  <c r="U227" i="3"/>
  <c r="U228" i="3"/>
  <c r="U229" i="3"/>
  <c r="U230" i="3"/>
  <c r="U231" i="3"/>
  <c r="U232" i="3"/>
  <c r="U233" i="3"/>
  <c r="U234" i="3"/>
  <c r="U235" i="3"/>
  <c r="U236" i="3"/>
  <c r="U237" i="3"/>
  <c r="U238" i="3"/>
  <c r="U239" i="3"/>
  <c r="U240" i="3"/>
  <c r="U241" i="3"/>
  <c r="U242" i="3"/>
  <c r="U243" i="3"/>
  <c r="U244" i="3"/>
  <c r="U245" i="3"/>
  <c r="U246" i="3"/>
  <c r="U247" i="3"/>
  <c r="U248" i="3"/>
  <c r="U249" i="3"/>
  <c r="U250" i="3"/>
  <c r="U251" i="3"/>
  <c r="U252" i="3"/>
  <c r="U253" i="3"/>
  <c r="U254" i="3"/>
  <c r="U255" i="3"/>
  <c r="U256" i="3"/>
  <c r="U257" i="3"/>
  <c r="U258" i="3"/>
  <c r="U259" i="3"/>
  <c r="U260" i="3"/>
  <c r="U261" i="3"/>
  <c r="U262" i="3"/>
  <c r="U263" i="3"/>
  <c r="U264" i="3"/>
  <c r="U265" i="3"/>
  <c r="U266" i="3"/>
  <c r="U267" i="3"/>
  <c r="U268" i="3"/>
  <c r="U269" i="3"/>
  <c r="U270" i="3"/>
  <c r="U271" i="3"/>
  <c r="U272" i="3"/>
  <c r="U273" i="3"/>
  <c r="U274" i="3"/>
  <c r="U275" i="3"/>
  <c r="U276" i="3"/>
  <c r="U277" i="3"/>
  <c r="U278" i="3"/>
  <c r="U279" i="3"/>
  <c r="U5" i="3"/>
  <c r="N16" i="4"/>
  <c r="O16" i="4"/>
  <c r="N17" i="4"/>
  <c r="O17" i="4"/>
  <c r="N18" i="4"/>
  <c r="O18" i="4"/>
  <c r="N19" i="4"/>
  <c r="O19" i="4"/>
  <c r="O15" i="4"/>
  <c r="N15" i="4"/>
  <c r="O6" i="4"/>
  <c r="O7" i="4"/>
  <c r="O8" i="4"/>
  <c r="O9" i="4"/>
  <c r="O10" i="4"/>
  <c r="O11" i="4"/>
  <c r="O5" i="4"/>
  <c r="N6" i="4"/>
  <c r="N7" i="4"/>
  <c r="N8" i="4"/>
  <c r="N9" i="4"/>
  <c r="N10" i="4"/>
  <c r="N11" i="4"/>
  <c r="N5" i="4"/>
  <c r="H25" i="4"/>
  <c r="AB25" i="4" s="1"/>
  <c r="H26" i="4"/>
  <c r="AB26" i="4" s="1"/>
  <c r="H27" i="4"/>
  <c r="AB27" i="4" s="1"/>
  <c r="H28" i="4"/>
  <c r="AB28" i="4" s="1"/>
  <c r="H29" i="4"/>
  <c r="AB29" i="4" s="1"/>
  <c r="H30" i="4"/>
  <c r="AB30" i="4" s="1"/>
  <c r="H31" i="4"/>
  <c r="AB31" i="4" s="1"/>
  <c r="H32" i="4"/>
  <c r="AB32" i="4" s="1"/>
  <c r="H33" i="4"/>
  <c r="AB33" i="4" s="1"/>
  <c r="H34" i="4"/>
  <c r="AB34" i="4" s="1"/>
  <c r="H35" i="4"/>
  <c r="AB35" i="4" s="1"/>
  <c r="H36" i="4"/>
  <c r="AB36" i="4" s="1"/>
  <c r="H37" i="4"/>
  <c r="AB37" i="4" s="1"/>
  <c r="H38" i="4"/>
  <c r="AB38" i="4" s="1"/>
  <c r="H39" i="4"/>
  <c r="AB39" i="4" s="1"/>
  <c r="H40" i="4"/>
  <c r="AB40" i="4" s="1"/>
  <c r="H41" i="4"/>
  <c r="AB41" i="4" s="1"/>
  <c r="H42" i="4"/>
  <c r="AB42" i="4" s="1"/>
  <c r="H43" i="4"/>
  <c r="AB43" i="4" s="1"/>
  <c r="H44" i="4"/>
  <c r="AB44" i="4" s="1"/>
  <c r="H45" i="4"/>
  <c r="AB45" i="4" s="1"/>
  <c r="H46" i="4"/>
  <c r="AB46" i="4" s="1"/>
  <c r="H47" i="4"/>
  <c r="AB47" i="4" s="1"/>
  <c r="H48" i="4"/>
  <c r="AB48" i="4" s="1"/>
  <c r="H49" i="4"/>
  <c r="AB49" i="4" s="1"/>
  <c r="H50" i="4"/>
  <c r="AB50" i="4" s="1"/>
  <c r="H51" i="4"/>
  <c r="AB51" i="4" s="1"/>
  <c r="H52" i="4"/>
  <c r="AB52" i="4" s="1"/>
  <c r="H53" i="4"/>
  <c r="AB53" i="4" s="1"/>
  <c r="H54" i="4"/>
  <c r="AB54" i="4" s="1"/>
  <c r="H55" i="4"/>
  <c r="AB55" i="4" s="1"/>
  <c r="H24" i="4"/>
  <c r="AB24" i="4" s="1"/>
  <c r="F25" i="4"/>
  <c r="X25" i="4" s="1"/>
  <c r="F26" i="4"/>
  <c r="X26" i="4" s="1"/>
  <c r="F27" i="4"/>
  <c r="X27" i="4" s="1"/>
  <c r="F28" i="4"/>
  <c r="X28" i="4" s="1"/>
  <c r="F29" i="4"/>
  <c r="X29" i="4" s="1"/>
  <c r="F30" i="4"/>
  <c r="X30" i="4" s="1"/>
  <c r="F31" i="4"/>
  <c r="X31" i="4" s="1"/>
  <c r="F32" i="4"/>
  <c r="X32" i="4" s="1"/>
  <c r="F33" i="4"/>
  <c r="X33" i="4" s="1"/>
  <c r="F34" i="4"/>
  <c r="X34" i="4" s="1"/>
  <c r="F35" i="4"/>
  <c r="X35" i="4" s="1"/>
  <c r="F36" i="4"/>
  <c r="X36" i="4" s="1"/>
  <c r="F37" i="4"/>
  <c r="X37" i="4" s="1"/>
  <c r="F38" i="4"/>
  <c r="X38" i="4" s="1"/>
  <c r="F39" i="4"/>
  <c r="X39" i="4" s="1"/>
  <c r="F40" i="4"/>
  <c r="X40" i="4" s="1"/>
  <c r="F41" i="4"/>
  <c r="X41" i="4" s="1"/>
  <c r="F42" i="4"/>
  <c r="X42" i="4" s="1"/>
  <c r="F43" i="4"/>
  <c r="X43" i="4" s="1"/>
  <c r="F44" i="4"/>
  <c r="X44" i="4" s="1"/>
  <c r="F45" i="4"/>
  <c r="X45" i="4" s="1"/>
  <c r="F46" i="4"/>
  <c r="X46" i="4" s="1"/>
  <c r="F47" i="4"/>
  <c r="X47" i="4" s="1"/>
  <c r="F48" i="4"/>
  <c r="X48" i="4" s="1"/>
  <c r="F49" i="4"/>
  <c r="X49" i="4" s="1"/>
  <c r="F50" i="4"/>
  <c r="X50" i="4" s="1"/>
  <c r="F51" i="4"/>
  <c r="X51" i="4" s="1"/>
  <c r="F52" i="4"/>
  <c r="X52" i="4" s="1"/>
  <c r="F53" i="4"/>
  <c r="X53" i="4" s="1"/>
  <c r="F54" i="4"/>
  <c r="X54" i="4" s="1"/>
  <c r="F55" i="4"/>
  <c r="X55" i="4" s="1"/>
  <c r="E25" i="4"/>
  <c r="W25" i="4" s="1"/>
  <c r="E26" i="4"/>
  <c r="W26" i="4" s="1"/>
  <c r="E27" i="4"/>
  <c r="W27" i="4" s="1"/>
  <c r="E28" i="4"/>
  <c r="W28" i="4" s="1"/>
  <c r="E29" i="4"/>
  <c r="W29" i="4" s="1"/>
  <c r="E30" i="4"/>
  <c r="W30" i="4" s="1"/>
  <c r="E31" i="4"/>
  <c r="W31" i="4" s="1"/>
  <c r="E32" i="4"/>
  <c r="W32" i="4" s="1"/>
  <c r="E33" i="4"/>
  <c r="W33" i="4" s="1"/>
  <c r="E34" i="4"/>
  <c r="W34" i="4" s="1"/>
  <c r="E35" i="4"/>
  <c r="W35" i="4" s="1"/>
  <c r="E36" i="4"/>
  <c r="W36" i="4" s="1"/>
  <c r="E37" i="4"/>
  <c r="W37" i="4" s="1"/>
  <c r="E38" i="4"/>
  <c r="W38" i="4" s="1"/>
  <c r="E39" i="4"/>
  <c r="W39" i="4" s="1"/>
  <c r="E40" i="4"/>
  <c r="W40" i="4" s="1"/>
  <c r="E41" i="4"/>
  <c r="W41" i="4" s="1"/>
  <c r="E42" i="4"/>
  <c r="W42" i="4" s="1"/>
  <c r="E44" i="4"/>
  <c r="W44" i="4" s="1"/>
  <c r="E45" i="4"/>
  <c r="W45" i="4" s="1"/>
  <c r="E46" i="4"/>
  <c r="W46" i="4" s="1"/>
  <c r="E47" i="4"/>
  <c r="W47" i="4" s="1"/>
  <c r="E48" i="4"/>
  <c r="W48" i="4" s="1"/>
  <c r="E49" i="4"/>
  <c r="W49" i="4" s="1"/>
  <c r="E50" i="4"/>
  <c r="W50" i="4" s="1"/>
  <c r="E51" i="4"/>
  <c r="W51" i="4" s="1"/>
  <c r="E52" i="4"/>
  <c r="W52" i="4" s="1"/>
  <c r="E53" i="4"/>
  <c r="W53" i="4" s="1"/>
  <c r="E54" i="4"/>
  <c r="W54" i="4" s="1"/>
  <c r="E55" i="4"/>
  <c r="W55" i="4" s="1"/>
  <c r="E24" i="4"/>
  <c r="W24" i="4" s="1"/>
  <c r="F24" i="4"/>
  <c r="X24" i="4" s="1"/>
  <c r="AY23" i="21" l="1"/>
  <c r="AY35" i="21"/>
  <c r="S10" i="30"/>
  <c r="O27" i="28"/>
  <c r="N20" i="28"/>
  <c r="M22" i="28"/>
  <c r="O29" i="28"/>
  <c r="N18" i="29"/>
  <c r="N27" i="29"/>
  <c r="O29" i="29"/>
  <c r="P30" i="29"/>
  <c r="N23" i="29"/>
  <c r="M30" i="28"/>
  <c r="M26" i="29"/>
  <c r="P24" i="29"/>
  <c r="N19" i="28"/>
  <c r="P25" i="29"/>
  <c r="N29" i="29"/>
  <c r="N32" i="28"/>
  <c r="M32" i="28"/>
  <c r="M27" i="28"/>
  <c r="O19" i="28"/>
  <c r="M23" i="29"/>
  <c r="M29" i="29"/>
  <c r="P29" i="29"/>
  <c r="P20" i="29"/>
  <c r="P25" i="28"/>
  <c r="P19" i="28"/>
  <c r="O28" i="28"/>
  <c r="N17" i="28"/>
  <c r="O32" i="28"/>
  <c r="M28" i="28"/>
  <c r="O16" i="29"/>
  <c r="O23" i="29"/>
  <c r="P21" i="29"/>
  <c r="M20" i="29"/>
  <c r="P26" i="29"/>
  <c r="P31" i="28"/>
  <c r="M30" i="29"/>
  <c r="P27" i="28"/>
  <c r="P26" i="28"/>
  <c r="N20" i="29"/>
  <c r="P23" i="30"/>
  <c r="AY20" i="21"/>
  <c r="O30" i="28"/>
  <c r="O24" i="28"/>
  <c r="N27" i="28"/>
  <c r="M23" i="28"/>
  <c r="M31" i="28"/>
  <c r="M25" i="28"/>
  <c r="M21" i="29"/>
  <c r="N16" i="29"/>
  <c r="N26" i="29"/>
  <c r="O21" i="29"/>
  <c r="P32" i="29"/>
  <c r="M26" i="28"/>
  <c r="N22" i="28"/>
  <c r="N23" i="28"/>
  <c r="P21" i="28"/>
  <c r="P23" i="29"/>
  <c r="M7" i="30"/>
  <c r="N26" i="28"/>
  <c r="P32" i="28"/>
  <c r="M29" i="28"/>
  <c r="N24" i="28"/>
  <c r="P24" i="28"/>
  <c r="P23" i="28"/>
  <c r="M27" i="29"/>
  <c r="N28" i="29"/>
  <c r="N32" i="29"/>
  <c r="O20" i="29"/>
  <c r="P17" i="28"/>
  <c r="N25" i="28"/>
  <c r="P19" i="29"/>
  <c r="M22" i="29"/>
  <c r="N30" i="28"/>
  <c r="O26" i="28"/>
  <c r="O27" i="29"/>
  <c r="P17" i="29"/>
  <c r="P29" i="28"/>
  <c r="N30" i="29"/>
  <c r="N22" i="29"/>
  <c r="M24" i="28"/>
  <c r="M19" i="29"/>
  <c r="O20" i="28"/>
  <c r="O22" i="28"/>
  <c r="M18" i="28"/>
  <c r="O25" i="28"/>
  <c r="N28" i="28"/>
  <c r="O28" i="29"/>
  <c r="M18" i="29"/>
  <c r="M17" i="29"/>
  <c r="O26" i="29"/>
  <c r="M17" i="30"/>
  <c r="P24" i="30"/>
  <c r="M19" i="28"/>
  <c r="P28" i="29"/>
  <c r="N31" i="28"/>
  <c r="O25" i="29"/>
  <c r="O23" i="28"/>
  <c r="O18" i="28"/>
  <c r="O18" i="29"/>
  <c r="M32" i="29"/>
  <c r="N19" i="29"/>
  <c r="P27" i="29"/>
  <c r="N29" i="28"/>
  <c r="M17" i="28"/>
  <c r="O21" i="28"/>
  <c r="O31" i="28"/>
  <c r="P20" i="28"/>
  <c r="O19" i="29"/>
  <c r="N21" i="29"/>
  <c r="O17" i="29"/>
  <c r="O30" i="29"/>
  <c r="O32" i="29"/>
  <c r="N23" i="30"/>
  <c r="P32" i="30"/>
  <c r="O22" i="29"/>
  <c r="P22" i="28"/>
  <c r="P30" i="28"/>
  <c r="N18" i="28"/>
  <c r="M20" i="28"/>
  <c r="O31" i="29"/>
  <c r="P22" i="29"/>
  <c r="M28" i="29"/>
  <c r="N17" i="29"/>
  <c r="O27" i="30"/>
  <c r="M10" i="30"/>
  <c r="S7" i="30"/>
  <c r="R13" i="29"/>
  <c r="AY26" i="21"/>
  <c r="R10" i="30"/>
  <c r="AY45" i="21"/>
  <c r="N7" i="30"/>
  <c r="P7" i="30"/>
  <c r="O8" i="29"/>
  <c r="S9" i="29"/>
  <c r="O13" i="29"/>
  <c r="AY46" i="21"/>
  <c r="AY22" i="21"/>
  <c r="N8" i="30"/>
  <c r="O10" i="30"/>
  <c r="AY38" i="21"/>
  <c r="AY21" i="21"/>
  <c r="Q5" i="29"/>
  <c r="R13" i="30"/>
  <c r="M9" i="28"/>
  <c r="M6" i="30"/>
  <c r="S8" i="30"/>
  <c r="P13" i="30"/>
  <c r="N7" i="29"/>
  <c r="M6" i="29"/>
  <c r="P7" i="29"/>
  <c r="Q5" i="30"/>
  <c r="P5" i="29"/>
  <c r="Q6" i="30"/>
  <c r="M13" i="30"/>
  <c r="AY28" i="21"/>
  <c r="P9" i="29"/>
  <c r="P10" i="30"/>
  <c r="Q6" i="28"/>
  <c r="S7" i="29"/>
  <c r="R7" i="30"/>
  <c r="L28" i="26"/>
  <c r="AM28" i="26" s="1"/>
  <c r="AJ18" i="25"/>
  <c r="I18" i="25"/>
  <c r="AO49" i="21"/>
  <c r="H34" i="25"/>
  <c r="H20" i="26"/>
  <c r="AI22" i="25"/>
  <c r="AN39" i="21"/>
  <c r="G28" i="25"/>
  <c r="I28" i="25" s="1"/>
  <c r="U13" i="25"/>
  <c r="AI21" i="25"/>
  <c r="AO32" i="21"/>
  <c r="H26" i="25"/>
  <c r="AN48" i="21"/>
  <c r="G30" i="26"/>
  <c r="I30" i="26" s="1"/>
  <c r="AJ22" i="26"/>
  <c r="I22" i="26"/>
  <c r="L24" i="25"/>
  <c r="AM24" i="25" s="1"/>
  <c r="AO33" i="21"/>
  <c r="H18" i="27"/>
  <c r="AN24" i="21"/>
  <c r="G27" i="26"/>
  <c r="L27" i="26" s="1"/>
  <c r="AJ28" i="25"/>
  <c r="AA13" i="21"/>
  <c r="H21" i="25"/>
  <c r="AO19" i="21"/>
  <c r="H19" i="25"/>
  <c r="AI22" i="26"/>
  <c r="L22" i="26"/>
  <c r="AM22" i="26" s="1"/>
  <c r="AO30" i="21"/>
  <c r="H25" i="25"/>
  <c r="AI24" i="25"/>
  <c r="U11" i="25"/>
  <c r="AJ30" i="26"/>
  <c r="V11" i="26"/>
  <c r="AO47" i="21"/>
  <c r="H31" i="25"/>
  <c r="AJ24" i="25"/>
  <c r="V11" i="25"/>
  <c r="I24" i="25"/>
  <c r="L25" i="25"/>
  <c r="AM25" i="25" s="1"/>
  <c r="AI18" i="25"/>
  <c r="L18" i="25"/>
  <c r="AM18" i="25" s="1"/>
  <c r="U10" i="25"/>
  <c r="AN32" i="21"/>
  <c r="G26" i="25"/>
  <c r="AI26" i="25" s="1"/>
  <c r="AN47" i="21"/>
  <c r="G31" i="25"/>
  <c r="AI31" i="25" s="1"/>
  <c r="AJ27" i="26"/>
  <c r="V10" i="26"/>
  <c r="AJ28" i="26"/>
  <c r="AL28" i="26" s="1"/>
  <c r="I28" i="26"/>
  <c r="AN49" i="21"/>
  <c r="G20" i="26"/>
  <c r="G34" i="25"/>
  <c r="AI34" i="25" s="1"/>
  <c r="AN33" i="21"/>
  <c r="G18" i="27"/>
  <c r="L18" i="27" s="1"/>
  <c r="AJ22" i="25"/>
  <c r="I22" i="25"/>
  <c r="K18" i="26"/>
  <c r="K32" i="25"/>
  <c r="L32" i="25" s="1"/>
  <c r="L22" i="25"/>
  <c r="L21" i="25"/>
  <c r="L23" i="26"/>
  <c r="Y12" i="26"/>
  <c r="Z12" i="26" s="1"/>
  <c r="L19" i="25"/>
  <c r="Y10" i="25"/>
  <c r="K34" i="25"/>
  <c r="K20" i="26"/>
  <c r="L20" i="25"/>
  <c r="Y11" i="25"/>
  <c r="P12" i="29"/>
  <c r="O13" i="30"/>
  <c r="M9" i="30"/>
  <c r="S6" i="29"/>
  <c r="N5" i="29"/>
  <c r="Q9" i="30"/>
  <c r="P6" i="28"/>
  <c r="P13" i="29"/>
  <c r="O10" i="29"/>
  <c r="P8" i="29"/>
  <c r="Q8" i="29"/>
  <c r="R8" i="29"/>
  <c r="S12" i="29"/>
  <c r="P11" i="29"/>
  <c r="Q12" i="30"/>
  <c r="N9" i="29"/>
  <c r="R7" i="29"/>
  <c r="R5" i="29"/>
  <c r="S5" i="29"/>
  <c r="N8" i="29"/>
  <c r="N6" i="29"/>
  <c r="N10" i="30"/>
  <c r="S13" i="30"/>
  <c r="O9" i="28"/>
  <c r="O6" i="29"/>
  <c r="R12" i="29"/>
  <c r="M10" i="29"/>
  <c r="S5" i="30"/>
  <c r="R9" i="30"/>
  <c r="Q7" i="30"/>
  <c r="N6" i="30"/>
  <c r="S6" i="28"/>
  <c r="M11" i="29"/>
  <c r="Q12" i="29"/>
  <c r="N13" i="30"/>
  <c r="P5" i="30"/>
  <c r="S11" i="29"/>
  <c r="R10" i="29"/>
  <c r="Q9" i="29"/>
  <c r="S6" i="30"/>
  <c r="P8" i="30"/>
  <c r="O12" i="29"/>
  <c r="R11" i="29"/>
  <c r="N11" i="29"/>
  <c r="N10" i="29"/>
  <c r="M13" i="29"/>
  <c r="P6" i="30"/>
  <c r="O7" i="30"/>
  <c r="N9" i="30"/>
  <c r="P11" i="30"/>
  <c r="P10" i="29"/>
  <c r="S10" i="29"/>
  <c r="R6" i="30"/>
  <c r="P13" i="28"/>
  <c r="O11" i="29"/>
  <c r="M5" i="29"/>
  <c r="S13" i="29"/>
  <c r="M9" i="29"/>
  <c r="Q7" i="29"/>
  <c r="S8" i="29"/>
  <c r="Q11" i="29"/>
  <c r="M8" i="29"/>
  <c r="M7" i="29"/>
  <c r="M12" i="29"/>
  <c r="Q10" i="29"/>
  <c r="P6" i="29"/>
  <c r="O9" i="29"/>
  <c r="N13" i="29"/>
  <c r="Q6" i="29"/>
  <c r="O6" i="30"/>
  <c r="Q10" i="30"/>
  <c r="Q13" i="29"/>
  <c r="R9" i="29"/>
  <c r="O9" i="30"/>
  <c r="Q13" i="30"/>
  <c r="R6" i="29"/>
  <c r="N12" i="29"/>
  <c r="O5" i="29"/>
  <c r="O7" i="29"/>
  <c r="P9" i="30"/>
  <c r="S9" i="30"/>
  <c r="N5" i="30"/>
  <c r="P16" i="29"/>
  <c r="N22" i="30"/>
  <c r="N24" i="29"/>
  <c r="N25" i="29"/>
  <c r="P29" i="30"/>
  <c r="M16" i="29"/>
  <c r="M25" i="29"/>
  <c r="N31" i="29"/>
  <c r="N24" i="30"/>
  <c r="M27" i="30"/>
  <c r="N31" i="30"/>
  <c r="O32" i="30"/>
  <c r="M16" i="30"/>
  <c r="N28" i="30"/>
  <c r="P31" i="29"/>
  <c r="P25" i="30"/>
  <c r="N27" i="30"/>
  <c r="M31" i="30"/>
  <c r="N29" i="30"/>
  <c r="M19" i="30"/>
  <c r="M24" i="29"/>
  <c r="M31" i="29"/>
  <c r="N30" i="30"/>
  <c r="P28" i="30"/>
  <c r="O24" i="29"/>
  <c r="P31" i="30"/>
  <c r="M26" i="30"/>
  <c r="O12" i="30"/>
  <c r="N11" i="30"/>
  <c r="Q8" i="30"/>
  <c r="R12" i="30"/>
  <c r="M5" i="30"/>
  <c r="O6" i="28"/>
  <c r="P12" i="30"/>
  <c r="R11" i="30"/>
  <c r="M8" i="30"/>
  <c r="S11" i="30"/>
  <c r="M11" i="30"/>
  <c r="R5" i="30"/>
  <c r="R9" i="28"/>
  <c r="N9" i="28"/>
  <c r="N12" i="30"/>
  <c r="O5" i="30"/>
  <c r="P9" i="28"/>
  <c r="R7" i="28"/>
  <c r="M6" i="28"/>
  <c r="Q9" i="28"/>
  <c r="R8" i="30"/>
  <c r="O8" i="30"/>
  <c r="S9" i="28"/>
  <c r="M13" i="28"/>
  <c r="R6" i="28"/>
  <c r="M5" i="28"/>
  <c r="S12" i="30"/>
  <c r="O11" i="30"/>
  <c r="M12" i="30"/>
  <c r="N6" i="28"/>
  <c r="Q11" i="30"/>
  <c r="O20" i="30"/>
  <c r="O19" i="30"/>
  <c r="O18" i="30"/>
  <c r="O17" i="30"/>
  <c r="O28" i="30"/>
  <c r="M18" i="30"/>
  <c r="M25" i="30"/>
  <c r="M24" i="30"/>
  <c r="M23" i="30"/>
  <c r="M22" i="30"/>
  <c r="O16" i="30"/>
  <c r="M20" i="30"/>
  <c r="O26" i="30"/>
  <c r="M32" i="30"/>
  <c r="O25" i="30"/>
  <c r="O24" i="30"/>
  <c r="O23" i="30"/>
  <c r="M21" i="30"/>
  <c r="O21" i="30"/>
  <c r="N19" i="30"/>
  <c r="M30" i="30"/>
  <c r="M29" i="30"/>
  <c r="M28" i="30"/>
  <c r="O22" i="30"/>
  <c r="N20" i="30"/>
  <c r="P20" i="30"/>
  <c r="P16" i="30"/>
  <c r="N18" i="30"/>
  <c r="N17" i="30"/>
  <c r="N16" i="30"/>
  <c r="N21" i="30"/>
  <c r="N26" i="30"/>
  <c r="P26" i="30"/>
  <c r="P30" i="30"/>
  <c r="O31" i="30"/>
  <c r="O30" i="30"/>
  <c r="O29" i="30"/>
  <c r="P21" i="30"/>
  <c r="N25" i="30"/>
  <c r="P19" i="30"/>
  <c r="P18" i="30"/>
  <c r="P17" i="30"/>
  <c r="P22" i="30"/>
  <c r="P27" i="30"/>
  <c r="R13" i="28"/>
  <c r="N8" i="28"/>
  <c r="M12" i="28"/>
  <c r="Q5" i="28"/>
  <c r="O5" i="28"/>
  <c r="S5" i="28"/>
  <c r="N5" i="28"/>
  <c r="O11" i="28"/>
  <c r="Q7" i="28"/>
  <c r="S8" i="28"/>
  <c r="O13" i="28"/>
  <c r="N12" i="28"/>
  <c r="Q8" i="28"/>
  <c r="P12" i="28"/>
  <c r="Q11" i="28"/>
  <c r="R12" i="28"/>
  <c r="P5" i="28"/>
  <c r="R5" i="28"/>
  <c r="M7" i="28"/>
  <c r="P11" i="28"/>
  <c r="Q12" i="28"/>
  <c r="N13" i="28"/>
  <c r="P7" i="28"/>
  <c r="Q10" i="28"/>
  <c r="R11" i="28"/>
  <c r="S12" i="28"/>
  <c r="M11" i="28"/>
  <c r="P10" i="28"/>
  <c r="S11" i="28"/>
  <c r="R8" i="28"/>
  <c r="O8" i="28"/>
  <c r="N7" i="28"/>
  <c r="P8" i="28"/>
  <c r="O7" i="28"/>
  <c r="S7" i="28"/>
  <c r="R10" i="28"/>
  <c r="N11" i="28"/>
  <c r="O12" i="28"/>
  <c r="S10" i="28"/>
  <c r="S13" i="28"/>
  <c r="N10" i="28"/>
  <c r="M8" i="28"/>
  <c r="Q13" i="28"/>
  <c r="O10" i="28"/>
  <c r="AA12" i="21"/>
  <c r="Z10" i="21"/>
  <c r="AN29" i="21"/>
  <c r="Z11" i="21"/>
  <c r="AO37" i="21"/>
  <c r="AA9" i="21"/>
  <c r="AO18" i="21"/>
  <c r="AA10" i="21"/>
  <c r="AD12" i="21"/>
  <c r="Z12" i="21"/>
  <c r="AD13" i="21"/>
  <c r="AN25" i="21"/>
  <c r="Z13" i="21"/>
  <c r="AK13" i="21" s="1"/>
  <c r="AD11" i="21"/>
  <c r="AD9" i="21"/>
  <c r="AN37" i="21"/>
  <c r="Z9" i="21"/>
  <c r="AO29" i="21"/>
  <c r="AA11" i="21"/>
  <c r="L33" i="24"/>
  <c r="K33" i="24"/>
  <c r="L34" i="24"/>
  <c r="K34" i="24"/>
  <c r="K32" i="24"/>
  <c r="L32" i="24"/>
  <c r="L31" i="24"/>
  <c r="K31" i="24"/>
  <c r="L30" i="24"/>
  <c r="K30" i="24"/>
  <c r="K29" i="24"/>
  <c r="L29" i="24"/>
  <c r="K28" i="24"/>
  <c r="L28" i="24"/>
  <c r="L27" i="24"/>
  <c r="K27" i="24"/>
  <c r="K26" i="24"/>
  <c r="L26" i="24"/>
  <c r="M35" i="24"/>
  <c r="N35" i="24" s="1"/>
  <c r="L25" i="24"/>
  <c r="K25" i="24"/>
  <c r="K10" i="24"/>
  <c r="L10" i="24"/>
  <c r="K24" i="24"/>
  <c r="L24" i="24"/>
  <c r="P20" i="20"/>
  <c r="K23" i="24"/>
  <c r="L23" i="24"/>
  <c r="K22" i="24"/>
  <c r="L22" i="24"/>
  <c r="K21" i="24"/>
  <c r="L21" i="24"/>
  <c r="K11" i="24"/>
  <c r="L11" i="24"/>
  <c r="K20" i="24"/>
  <c r="L20" i="24"/>
  <c r="K19" i="24"/>
  <c r="L19" i="24"/>
  <c r="K18" i="24"/>
  <c r="L18" i="24"/>
  <c r="K9" i="24"/>
  <c r="L9" i="24"/>
  <c r="L17" i="24"/>
  <c r="K17" i="24"/>
  <c r="L16" i="24"/>
  <c r="K16" i="24"/>
  <c r="L15" i="24"/>
  <c r="K15" i="24"/>
  <c r="L14" i="24"/>
  <c r="K14" i="24"/>
  <c r="L13" i="24"/>
  <c r="K13" i="24"/>
  <c r="K12" i="24"/>
  <c r="L12" i="24"/>
  <c r="M19" i="24"/>
  <c r="M16" i="24"/>
  <c r="M9" i="24"/>
  <c r="M30" i="24"/>
  <c r="M14" i="24"/>
  <c r="M18" i="24"/>
  <c r="M17" i="24"/>
  <c r="M29" i="24"/>
  <c r="M13" i="24"/>
  <c r="M34" i="24"/>
  <c r="M26" i="24"/>
  <c r="M24" i="24"/>
  <c r="M32" i="24"/>
  <c r="M12" i="24"/>
  <c r="M11" i="24"/>
  <c r="M23" i="24"/>
  <c r="M28" i="24"/>
  <c r="M22" i="24"/>
  <c r="M31" i="24"/>
  <c r="M27" i="24"/>
  <c r="M10" i="24"/>
  <c r="M21" i="24"/>
  <c r="M33" i="24"/>
  <c r="M15" i="24"/>
  <c r="M25" i="24"/>
  <c r="M20" i="24"/>
  <c r="P18" i="20"/>
  <c r="K16" i="23"/>
  <c r="K33" i="23"/>
  <c r="P25" i="20"/>
  <c r="P19" i="20"/>
  <c r="P23" i="20"/>
  <c r="P17" i="20"/>
  <c r="P24" i="20"/>
  <c r="P22" i="20"/>
  <c r="P21" i="20"/>
  <c r="K38" i="23"/>
  <c r="P16" i="20"/>
  <c r="AH14" i="21"/>
  <c r="K20" i="23"/>
  <c r="K42" i="23"/>
  <c r="K40" i="23"/>
  <c r="K22" i="23"/>
  <c r="K27" i="23"/>
  <c r="K43" i="23"/>
  <c r="K34" i="23"/>
  <c r="K25" i="23"/>
  <c r="K26" i="23"/>
  <c r="K35" i="23"/>
  <c r="K41" i="23"/>
  <c r="K21" i="23"/>
  <c r="K30" i="23"/>
  <c r="K29" i="23"/>
  <c r="K28" i="23"/>
  <c r="K31" i="23"/>
  <c r="K45" i="23"/>
  <c r="K18" i="23"/>
  <c r="K32" i="23"/>
  <c r="K44" i="23"/>
  <c r="K14" i="23"/>
  <c r="K17" i="23"/>
  <c r="K36" i="23"/>
  <c r="K37" i="23"/>
  <c r="K15" i="23"/>
  <c r="K24" i="23"/>
  <c r="K39" i="23"/>
  <c r="K19" i="23"/>
  <c r="K23" i="23"/>
  <c r="P15" i="20"/>
  <c r="P14" i="20"/>
  <c r="O16" i="20"/>
  <c r="P13" i="20"/>
  <c r="O24" i="20"/>
  <c r="O23" i="20"/>
  <c r="O19" i="20"/>
  <c r="O10" i="20"/>
  <c r="P10" i="20"/>
  <c r="O14" i="20"/>
  <c r="O18" i="20"/>
  <c r="O20" i="20"/>
  <c r="O13" i="20"/>
  <c r="O17" i="20"/>
  <c r="O22" i="20"/>
  <c r="O9" i="20"/>
  <c r="P9" i="20"/>
  <c r="O8" i="20"/>
  <c r="O25" i="20"/>
  <c r="O12" i="20"/>
  <c r="P12" i="20"/>
  <c r="O11" i="20"/>
  <c r="P11" i="20"/>
  <c r="O21" i="20"/>
  <c r="P8" i="20"/>
  <c r="O15" i="20"/>
  <c r="AQ35" i="21"/>
  <c r="AQ47" i="21"/>
  <c r="AQ23" i="21"/>
  <c r="AQ20" i="21"/>
  <c r="AQ40" i="21"/>
  <c r="AQ28" i="21"/>
  <c r="AQ46" i="21"/>
  <c r="AQ22" i="21"/>
  <c r="AQ45" i="21"/>
  <c r="AQ38" i="21"/>
  <c r="AQ26" i="21"/>
  <c r="AQ21" i="21"/>
  <c r="AQ41" i="21"/>
  <c r="N34" i="21"/>
  <c r="AO34" i="21"/>
  <c r="Q27" i="21"/>
  <c r="AR27" i="21" s="1"/>
  <c r="AN27" i="21"/>
  <c r="Q28" i="21"/>
  <c r="AR28" i="21" s="1"/>
  <c r="Q29" i="21"/>
  <c r="AR29" i="21" s="1"/>
  <c r="N39" i="21"/>
  <c r="AP39" i="21" s="1"/>
  <c r="AX39" i="21" s="1"/>
  <c r="N27" i="21"/>
  <c r="AP27" i="21" s="1"/>
  <c r="AX27" i="21" s="1"/>
  <c r="Q37" i="21"/>
  <c r="AR37" i="21" s="1"/>
  <c r="N25" i="21"/>
  <c r="N48" i="21"/>
  <c r="N36" i="21"/>
  <c r="N24" i="21"/>
  <c r="N44" i="21"/>
  <c r="AP44" i="21" s="1"/>
  <c r="AX44" i="21" s="1"/>
  <c r="Q36" i="21"/>
  <c r="AR36" i="21" s="1"/>
  <c r="N35" i="21"/>
  <c r="N19" i="21"/>
  <c r="AP19" i="21" s="1"/>
  <c r="AX19" i="21" s="1"/>
  <c r="N42" i="21"/>
  <c r="AP42" i="21" s="1"/>
  <c r="AX42" i="21" s="1"/>
  <c r="Q35" i="21"/>
  <c r="AR35" i="21" s="1"/>
  <c r="AN34" i="21"/>
  <c r="N46" i="21"/>
  <c r="AP46" i="21" s="1"/>
  <c r="AX46" i="21" s="1"/>
  <c r="N43" i="21"/>
  <c r="AP43" i="21" s="1"/>
  <c r="AX43" i="21" s="1"/>
  <c r="N31" i="21"/>
  <c r="AP31" i="21" s="1"/>
  <c r="AX31" i="21" s="1"/>
  <c r="N30" i="21"/>
  <c r="AP30" i="21" s="1"/>
  <c r="AX30" i="21" s="1"/>
  <c r="Q47" i="21"/>
  <c r="AR47" i="21" s="1"/>
  <c r="N45" i="21"/>
  <c r="AO24" i="21"/>
  <c r="N22" i="21"/>
  <c r="AP22" i="21" s="1"/>
  <c r="AX22" i="21" s="1"/>
  <c r="Q46" i="21"/>
  <c r="AR46" i="21" s="1"/>
  <c r="Q25" i="21"/>
  <c r="AR25" i="21" s="1"/>
  <c r="N21" i="21"/>
  <c r="Q23" i="21"/>
  <c r="AR23" i="21" s="1"/>
  <c r="N47" i="21"/>
  <c r="Q21" i="21"/>
  <c r="AR21" i="21" s="1"/>
  <c r="Q34" i="21"/>
  <c r="AR34" i="21" s="1"/>
  <c r="N23" i="21"/>
  <c r="AO36" i="21"/>
  <c r="Q41" i="21"/>
  <c r="AR41" i="21" s="1"/>
  <c r="N33" i="21"/>
  <c r="Q44" i="21"/>
  <c r="AR44" i="21" s="1"/>
  <c r="Q33" i="21"/>
  <c r="AR33" i="21" s="1"/>
  <c r="Q24" i="21"/>
  <c r="AR24" i="21" s="1"/>
  <c r="Q45" i="21"/>
  <c r="AR45" i="21" s="1"/>
  <c r="N28" i="21"/>
  <c r="N32" i="21"/>
  <c r="AP32" i="21" s="1"/>
  <c r="AX32" i="21" s="1"/>
  <c r="N20" i="21"/>
  <c r="AP20" i="21" s="1"/>
  <c r="AX20" i="21" s="1"/>
  <c r="Q39" i="21"/>
  <c r="AR39" i="21" s="1"/>
  <c r="Q30" i="21"/>
  <c r="AR30" i="21" s="1"/>
  <c r="Q20" i="21"/>
  <c r="AR20" i="21" s="1"/>
  <c r="Q19" i="21"/>
  <c r="AR19" i="21" s="1"/>
  <c r="AO25" i="21"/>
  <c r="Q42" i="21"/>
  <c r="AR42" i="21" s="1"/>
  <c r="Q26" i="21"/>
  <c r="AR26" i="21" s="1"/>
  <c r="AO48" i="21"/>
  <c r="N41" i="21"/>
  <c r="AP41" i="21" s="1"/>
  <c r="AX41" i="21" s="1"/>
  <c r="N29" i="21"/>
  <c r="Q48" i="21"/>
  <c r="AR48" i="21" s="1"/>
  <c r="Q32" i="21"/>
  <c r="AR32" i="21" s="1"/>
  <c r="N18" i="21"/>
  <c r="N38" i="21"/>
  <c r="N26" i="21"/>
  <c r="Q31" i="21"/>
  <c r="AR31" i="21" s="1"/>
  <c r="Q43" i="21"/>
  <c r="AR43" i="21" s="1"/>
  <c r="N40" i="21"/>
  <c r="AP40" i="21" s="1"/>
  <c r="AX40" i="21" s="1"/>
  <c r="Q40" i="21"/>
  <c r="AR40" i="21" s="1"/>
  <c r="N49" i="21"/>
  <c r="N37" i="21"/>
  <c r="Q49" i="21"/>
  <c r="AR49" i="21" s="1"/>
  <c r="Q38" i="21"/>
  <c r="AR38" i="21" s="1"/>
  <c r="Q22" i="21"/>
  <c r="AR22" i="21" s="1"/>
  <c r="AN36" i="21"/>
  <c r="AO27" i="21"/>
  <c r="AO39" i="21"/>
  <c r="AN19" i="21"/>
  <c r="AN31" i="21"/>
  <c r="AY31" i="21" s="1"/>
  <c r="AN43" i="21"/>
  <c r="AY43" i="21" s="1"/>
  <c r="AN18" i="21"/>
  <c r="AN30" i="21"/>
  <c r="AN42" i="21"/>
  <c r="AY42" i="21" s="1"/>
  <c r="AN44" i="21"/>
  <c r="AY44" i="21" s="1"/>
  <c r="AY33" i="21" l="1"/>
  <c r="AY30" i="21"/>
  <c r="AK10" i="21"/>
  <c r="N34" i="24"/>
  <c r="AY27" i="21"/>
  <c r="L26" i="25"/>
  <c r="AM26" i="25" s="1"/>
  <c r="AY19" i="21"/>
  <c r="AQ48" i="21"/>
  <c r="AQ49" i="21"/>
  <c r="AY49" i="21"/>
  <c r="AY18" i="21"/>
  <c r="AY25" i="21"/>
  <c r="AY47" i="21"/>
  <c r="AY37" i="21"/>
  <c r="AY48" i="21"/>
  <c r="AY29" i="21"/>
  <c r="AY36" i="21"/>
  <c r="AK12" i="21"/>
  <c r="AY32" i="21"/>
  <c r="AK9" i="21"/>
  <c r="AK11" i="21"/>
  <c r="AY24" i="21"/>
  <c r="AY34" i="21"/>
  <c r="V12" i="25"/>
  <c r="AY39" i="21"/>
  <c r="U12" i="25"/>
  <c r="AQ37" i="21"/>
  <c r="AQ33" i="21"/>
  <c r="AT28" i="26"/>
  <c r="AQ29" i="21"/>
  <c r="Y13" i="25"/>
  <c r="AL22" i="25"/>
  <c r="Y10" i="26"/>
  <c r="I27" i="26"/>
  <c r="W11" i="25"/>
  <c r="Z11" i="25" s="1"/>
  <c r="AQ24" i="21"/>
  <c r="AK28" i="25"/>
  <c r="L31" i="25"/>
  <c r="AM31" i="25" s="1"/>
  <c r="I20" i="26"/>
  <c r="V9" i="26"/>
  <c r="AJ20" i="26"/>
  <c r="AJ18" i="27"/>
  <c r="V11" i="27"/>
  <c r="I18" i="27"/>
  <c r="L28" i="25"/>
  <c r="AM28" i="25" s="1"/>
  <c r="I19" i="25"/>
  <c r="AJ19" i="25"/>
  <c r="AJ34" i="25"/>
  <c r="AL34" i="25" s="1"/>
  <c r="I34" i="25"/>
  <c r="AI20" i="26"/>
  <c r="U9" i="26"/>
  <c r="Y11" i="26"/>
  <c r="AI30" i="26"/>
  <c r="L30" i="26"/>
  <c r="AM30" i="26" s="1"/>
  <c r="U11" i="26"/>
  <c r="X11" i="26" s="1"/>
  <c r="Y12" i="25"/>
  <c r="AK30" i="26"/>
  <c r="V10" i="25"/>
  <c r="W10" i="25" s="1"/>
  <c r="Z10" i="25" s="1"/>
  <c r="AK22" i="25"/>
  <c r="U9" i="25"/>
  <c r="AI28" i="25"/>
  <c r="Y9" i="25"/>
  <c r="AI18" i="27"/>
  <c r="U11" i="27"/>
  <c r="I31" i="25"/>
  <c r="AJ31" i="25"/>
  <c r="AL31" i="25" s="1"/>
  <c r="AK22" i="26"/>
  <c r="AN22" i="26" s="1"/>
  <c r="AT22" i="25"/>
  <c r="AL18" i="25"/>
  <c r="AT18" i="25"/>
  <c r="X11" i="25"/>
  <c r="V9" i="25"/>
  <c r="AJ26" i="25"/>
  <c r="AL26" i="25" s="1"/>
  <c r="I26" i="25"/>
  <c r="AK18" i="25"/>
  <c r="AN18" i="25" s="1"/>
  <c r="AL22" i="26"/>
  <c r="AT22" i="26"/>
  <c r="AJ21" i="25"/>
  <c r="AL21" i="25" s="1"/>
  <c r="I21" i="25"/>
  <c r="V13" i="25"/>
  <c r="W13" i="25" s="1"/>
  <c r="AK28" i="26"/>
  <c r="AN28" i="26" s="1"/>
  <c r="AL24" i="25"/>
  <c r="AT24" i="25"/>
  <c r="AQ32" i="21"/>
  <c r="L34" i="25"/>
  <c r="AM34" i="25" s="1"/>
  <c r="I25" i="25"/>
  <c r="AJ25" i="25"/>
  <c r="AI27" i="26"/>
  <c r="U10" i="26"/>
  <c r="X10" i="26" s="1"/>
  <c r="Y11" i="27"/>
  <c r="AK24" i="25"/>
  <c r="AN24" i="25" s="1"/>
  <c r="AM20" i="25"/>
  <c r="AN20" i="25" s="1"/>
  <c r="AM19" i="25"/>
  <c r="AM23" i="26"/>
  <c r="AN23" i="26" s="1"/>
  <c r="AM21" i="25"/>
  <c r="AM22" i="25"/>
  <c r="L20" i="26"/>
  <c r="Y9" i="26"/>
  <c r="AM32" i="25"/>
  <c r="AN32" i="25" s="1"/>
  <c r="Y13" i="26"/>
  <c r="Z13" i="26" s="1"/>
  <c r="L18" i="26"/>
  <c r="AM18" i="27"/>
  <c r="AM27" i="26"/>
  <c r="AC12" i="21"/>
  <c r="AB10" i="21"/>
  <c r="AJ10" i="21" s="1"/>
  <c r="AB11" i="21"/>
  <c r="N33" i="24"/>
  <c r="AA14" i="21"/>
  <c r="AB9" i="21"/>
  <c r="Z14" i="21"/>
  <c r="AC9" i="21"/>
  <c r="AQ25" i="21"/>
  <c r="AC11" i="21"/>
  <c r="AB12" i="21"/>
  <c r="AC13" i="21"/>
  <c r="AB13" i="21"/>
  <c r="AC10" i="21"/>
  <c r="N32" i="24"/>
  <c r="N31" i="24"/>
  <c r="N30" i="24"/>
  <c r="N29" i="24"/>
  <c r="N28" i="24"/>
  <c r="N27" i="24"/>
  <c r="N10" i="24"/>
  <c r="N25" i="24"/>
  <c r="N22" i="24"/>
  <c r="N26" i="24"/>
  <c r="N24" i="24"/>
  <c r="N23" i="24"/>
  <c r="N12" i="24"/>
  <c r="N21" i="24"/>
  <c r="N9" i="24"/>
  <c r="N11" i="24"/>
  <c r="N18" i="24"/>
  <c r="N19" i="24"/>
  <c r="N15" i="24"/>
  <c r="N20" i="24"/>
  <c r="N13" i="24"/>
  <c r="N17" i="24"/>
  <c r="N14" i="24"/>
  <c r="N16" i="24"/>
  <c r="Q15" i="23"/>
  <c r="S17" i="23"/>
  <c r="U19" i="23"/>
  <c r="R22" i="23"/>
  <c r="T24" i="23"/>
  <c r="Q27" i="23"/>
  <c r="S29" i="23"/>
  <c r="U31" i="23"/>
  <c r="R34" i="23"/>
  <c r="T36" i="23"/>
  <c r="Q39" i="23"/>
  <c r="S41" i="23"/>
  <c r="U43" i="23"/>
  <c r="T14" i="23"/>
  <c r="S26" i="23"/>
  <c r="U40" i="23"/>
  <c r="R36" i="23"/>
  <c r="R15" i="23"/>
  <c r="T17" i="23"/>
  <c r="Q20" i="23"/>
  <c r="S22" i="23"/>
  <c r="U24" i="23"/>
  <c r="R27" i="23"/>
  <c r="T29" i="23"/>
  <c r="Q32" i="23"/>
  <c r="S34" i="23"/>
  <c r="U36" i="23"/>
  <c r="R39" i="23"/>
  <c r="T41" i="23"/>
  <c r="Q44" i="23"/>
  <c r="S14" i="23"/>
  <c r="Q18" i="23"/>
  <c r="U22" i="23"/>
  <c r="Q30" i="23"/>
  <c r="U34" i="23"/>
  <c r="T39" i="23"/>
  <c r="S44" i="23"/>
  <c r="U15" i="23"/>
  <c r="R18" i="23"/>
  <c r="T20" i="23"/>
  <c r="Q23" i="23"/>
  <c r="S25" i="23"/>
  <c r="U27" i="23"/>
  <c r="R30" i="23"/>
  <c r="T32" i="23"/>
  <c r="Q35" i="23"/>
  <c r="S37" i="23"/>
  <c r="U39" i="23"/>
  <c r="R42" i="23"/>
  <c r="T44" i="23"/>
  <c r="S16" i="23"/>
  <c r="U18" i="23"/>
  <c r="R21" i="23"/>
  <c r="T23" i="23"/>
  <c r="Q26" i="23"/>
  <c r="S28" i="23"/>
  <c r="U30" i="23"/>
  <c r="R33" i="23"/>
  <c r="T35" i="23"/>
  <c r="Q38" i="23"/>
  <c r="S40" i="23"/>
  <c r="U42" i="23"/>
  <c r="R45" i="23"/>
  <c r="T16" i="23"/>
  <c r="Q19" i="23"/>
  <c r="S21" i="23"/>
  <c r="U23" i="23"/>
  <c r="R26" i="23"/>
  <c r="T28" i="23"/>
  <c r="Q31" i="23"/>
  <c r="S33" i="23"/>
  <c r="U35" i="23"/>
  <c r="R38" i="23"/>
  <c r="T40" i="23"/>
  <c r="S45" i="23"/>
  <c r="Q41" i="23"/>
  <c r="R17" i="23"/>
  <c r="T19" i="23"/>
  <c r="Q22" i="23"/>
  <c r="S24" i="23"/>
  <c r="U26" i="23"/>
  <c r="R29" i="23"/>
  <c r="T31" i="23"/>
  <c r="Q34" i="23"/>
  <c r="S36" i="23"/>
  <c r="U38" i="23"/>
  <c r="R41" i="23"/>
  <c r="U14" i="23"/>
  <c r="S15" i="23"/>
  <c r="U17" i="23"/>
  <c r="R20" i="23"/>
  <c r="T22" i="23"/>
  <c r="Q25" i="23"/>
  <c r="S27" i="23"/>
  <c r="U29" i="23"/>
  <c r="R32" i="23"/>
  <c r="T34" i="23"/>
  <c r="Q37" i="23"/>
  <c r="S39" i="23"/>
  <c r="U41" i="23"/>
  <c r="R44" i="23"/>
  <c r="R14" i="23"/>
  <c r="T15" i="23"/>
  <c r="S20" i="23"/>
  <c r="R25" i="23"/>
  <c r="T27" i="23"/>
  <c r="S32" i="23"/>
  <c r="R37" i="23"/>
  <c r="Q42" i="23"/>
  <c r="Q43" i="23"/>
  <c r="U16" i="23"/>
  <c r="R19" i="23"/>
  <c r="T21" i="23"/>
  <c r="Q24" i="23"/>
  <c r="U28" i="23"/>
  <c r="R31" i="23"/>
  <c r="T33" i="23"/>
  <c r="Q36" i="23"/>
  <c r="S38" i="23"/>
  <c r="R43" i="23"/>
  <c r="T45" i="23"/>
  <c r="T43" i="23"/>
  <c r="Q16" i="23"/>
  <c r="S18" i="23"/>
  <c r="U20" i="23"/>
  <c r="R23" i="23"/>
  <c r="T25" i="23"/>
  <c r="Q28" i="23"/>
  <c r="S30" i="23"/>
  <c r="U32" i="23"/>
  <c r="R35" i="23"/>
  <c r="T37" i="23"/>
  <c r="Q40" i="23"/>
  <c r="S42" i="23"/>
  <c r="U44" i="23"/>
  <c r="R16" i="23"/>
  <c r="T18" i="23"/>
  <c r="Q21" i="23"/>
  <c r="S23" i="23"/>
  <c r="U25" i="23"/>
  <c r="R28" i="23"/>
  <c r="T30" i="23"/>
  <c r="Q33" i="23"/>
  <c r="S35" i="23"/>
  <c r="U37" i="23"/>
  <c r="R40" i="23"/>
  <c r="T42" i="23"/>
  <c r="Q45" i="23"/>
  <c r="Q17" i="23"/>
  <c r="S19" i="23"/>
  <c r="U21" i="23"/>
  <c r="R24" i="23"/>
  <c r="T26" i="23"/>
  <c r="Q29" i="23"/>
  <c r="S31" i="23"/>
  <c r="U33" i="23"/>
  <c r="T38" i="23"/>
  <c r="S43" i="23"/>
  <c r="U45" i="23"/>
  <c r="P40" i="23"/>
  <c r="P34" i="23"/>
  <c r="P28" i="23"/>
  <c r="P22" i="23"/>
  <c r="P16" i="23"/>
  <c r="O40" i="23"/>
  <c r="O34" i="23"/>
  <c r="O28" i="23"/>
  <c r="O22" i="23"/>
  <c r="P41" i="23"/>
  <c r="P35" i="23"/>
  <c r="P29" i="23"/>
  <c r="P23" i="23"/>
  <c r="P17" i="23"/>
  <c r="O23" i="23"/>
  <c r="O41" i="23"/>
  <c r="O35" i="23"/>
  <c r="O29" i="23"/>
  <c r="P42" i="23"/>
  <c r="P36" i="23"/>
  <c r="P30" i="23"/>
  <c r="P24" i="23"/>
  <c r="P18" i="23"/>
  <c r="O30" i="23"/>
  <c r="O42" i="23"/>
  <c r="O36" i="23"/>
  <c r="P43" i="23"/>
  <c r="P37" i="23"/>
  <c r="P31" i="23"/>
  <c r="P25" i="23"/>
  <c r="O31" i="23"/>
  <c r="P26" i="23"/>
  <c r="P14" i="23"/>
  <c r="O16" i="23"/>
  <c r="P38" i="23"/>
  <c r="O20" i="23"/>
  <c r="P19" i="23"/>
  <c r="O43" i="23"/>
  <c r="O26" i="23"/>
  <c r="O18" i="23"/>
  <c r="O14" i="23"/>
  <c r="O38" i="23"/>
  <c r="P33" i="23"/>
  <c r="P44" i="23"/>
  <c r="O45" i="23"/>
  <c r="P15" i="23"/>
  <c r="O33" i="23"/>
  <c r="O44" i="23"/>
  <c r="P39" i="23"/>
  <c r="O27" i="23"/>
  <c r="O24" i="23"/>
  <c r="P45" i="23"/>
  <c r="O39" i="23"/>
  <c r="P32" i="23"/>
  <c r="P20" i="23"/>
  <c r="O25" i="23"/>
  <c r="P21" i="23"/>
  <c r="O19" i="23"/>
  <c r="O37" i="23"/>
  <c r="O32" i="23"/>
  <c r="P27" i="23"/>
  <c r="O17" i="23"/>
  <c r="O21" i="23"/>
  <c r="O15" i="23"/>
  <c r="Q14" i="23"/>
  <c r="AS46" i="21"/>
  <c r="AS20" i="21"/>
  <c r="AS43" i="21"/>
  <c r="AS27" i="21"/>
  <c r="AS41" i="21"/>
  <c r="AS19" i="21"/>
  <c r="AS39" i="21"/>
  <c r="AS42" i="21"/>
  <c r="AS32" i="21"/>
  <c r="AS40" i="21"/>
  <c r="AS22" i="21"/>
  <c r="AS44" i="21"/>
  <c r="AS30" i="21"/>
  <c r="AS31" i="21"/>
  <c r="AQ39" i="21"/>
  <c r="AQ19" i="21"/>
  <c r="AQ42" i="21"/>
  <c r="AQ30" i="21"/>
  <c r="AQ31" i="21"/>
  <c r="AQ34" i="21"/>
  <c r="AQ43" i="21"/>
  <c r="AQ36" i="21"/>
  <c r="AQ18" i="21"/>
  <c r="AQ44" i="21"/>
  <c r="AQ27" i="21"/>
  <c r="U36" i="21"/>
  <c r="U27" i="21"/>
  <c r="U43" i="21"/>
  <c r="U28" i="21"/>
  <c r="U46" i="21"/>
  <c r="U18" i="21"/>
  <c r="U42" i="21"/>
  <c r="U25" i="21"/>
  <c r="U26" i="21"/>
  <c r="U23" i="21"/>
  <c r="U29" i="21"/>
  <c r="U39" i="21"/>
  <c r="U33" i="21"/>
  <c r="U31" i="21"/>
  <c r="U38" i="21"/>
  <c r="U37" i="21"/>
  <c r="U41" i="21"/>
  <c r="U24" i="21"/>
  <c r="U44" i="21"/>
  <c r="U45" i="21"/>
  <c r="U47" i="21"/>
  <c r="AP28" i="21"/>
  <c r="U49" i="21"/>
  <c r="U48" i="21"/>
  <c r="U34" i="21"/>
  <c r="U19" i="21"/>
  <c r="U20" i="21"/>
  <c r="U35" i="21"/>
  <c r="U21" i="21"/>
  <c r="U40" i="21"/>
  <c r="U32" i="21"/>
  <c r="U30" i="21"/>
  <c r="U22" i="21"/>
  <c r="AP18" i="21"/>
  <c r="AX18" i="21" s="1"/>
  <c r="AP21" i="21"/>
  <c r="AP38" i="21"/>
  <c r="AP26" i="21"/>
  <c r="AP37" i="21"/>
  <c r="AP34" i="21"/>
  <c r="AP29" i="21"/>
  <c r="AP49" i="21"/>
  <c r="AP48" i="21"/>
  <c r="AP25" i="21"/>
  <c r="AP23" i="21"/>
  <c r="AP47" i="21"/>
  <c r="AP35" i="21"/>
  <c r="AP36" i="21"/>
  <c r="AP45" i="21"/>
  <c r="AP33" i="21"/>
  <c r="AP24" i="21"/>
  <c r="C5" i="6"/>
  <c r="E5" i="6" s="1"/>
  <c r="P30" i="26" l="1"/>
  <c r="AK14" i="21"/>
  <c r="X12" i="25"/>
  <c r="AS45" i="21"/>
  <c r="AX45" i="21"/>
  <c r="AS36" i="21"/>
  <c r="AX36" i="21"/>
  <c r="AS47" i="21"/>
  <c r="AX47" i="21"/>
  <c r="AS48" i="21"/>
  <c r="AX48" i="21"/>
  <c r="AS29" i="21"/>
  <c r="AX29" i="21"/>
  <c r="AE11" i="21"/>
  <c r="AJ11" i="21"/>
  <c r="W12" i="25"/>
  <c r="Z12" i="25" s="1"/>
  <c r="AE12" i="21"/>
  <c r="AJ12" i="21"/>
  <c r="AS25" i="21"/>
  <c r="AX25" i="21"/>
  <c r="AE9" i="21"/>
  <c r="AJ9" i="21"/>
  <c r="AS49" i="21"/>
  <c r="AX49" i="21"/>
  <c r="AS23" i="21"/>
  <c r="AX23" i="21"/>
  <c r="AS34" i="21"/>
  <c r="AX34" i="21"/>
  <c r="AS24" i="21"/>
  <c r="AX24" i="21"/>
  <c r="AS37" i="21"/>
  <c r="AX37" i="21"/>
  <c r="AE13" i="21"/>
  <c r="AJ13" i="21"/>
  <c r="P27" i="26"/>
  <c r="AS38" i="21"/>
  <c r="AX38" i="21"/>
  <c r="AS21" i="21"/>
  <c r="AX21" i="21"/>
  <c r="AS35" i="21"/>
  <c r="AX35" i="21"/>
  <c r="AS28" i="21"/>
  <c r="AX28" i="21"/>
  <c r="AS33" i="21"/>
  <c r="AX33" i="21"/>
  <c r="AS26" i="21"/>
  <c r="AX26" i="21"/>
  <c r="P20" i="25"/>
  <c r="P22" i="25"/>
  <c r="P22" i="26"/>
  <c r="P32" i="25"/>
  <c r="P28" i="26"/>
  <c r="P33" i="25"/>
  <c r="W11" i="26"/>
  <c r="AK27" i="26"/>
  <c r="AN27" i="26" s="1"/>
  <c r="Z13" i="25"/>
  <c r="AT20" i="26"/>
  <c r="Z11" i="26"/>
  <c r="AN28" i="25"/>
  <c r="AN30" i="26"/>
  <c r="X9" i="26"/>
  <c r="U14" i="26"/>
  <c r="AT27" i="26"/>
  <c r="AL27" i="26"/>
  <c r="AK25" i="25"/>
  <c r="AN25" i="25" s="1"/>
  <c r="P25" i="25"/>
  <c r="W10" i="26"/>
  <c r="Z10" i="26" s="1"/>
  <c r="X13" i="25"/>
  <c r="AK21" i="25"/>
  <c r="AN21" i="25" s="1"/>
  <c r="P21" i="25"/>
  <c r="P29" i="25"/>
  <c r="AL20" i="26"/>
  <c r="AK34" i="25"/>
  <c r="AN34" i="25" s="1"/>
  <c r="P34" i="25"/>
  <c r="P23" i="25"/>
  <c r="AK31" i="25"/>
  <c r="AN31" i="25" s="1"/>
  <c r="P31" i="25"/>
  <c r="AK26" i="25"/>
  <c r="AN26" i="25" s="1"/>
  <c r="P26" i="25"/>
  <c r="U14" i="27"/>
  <c r="X11" i="27"/>
  <c r="AT34" i="25"/>
  <c r="AK20" i="26"/>
  <c r="P26" i="26"/>
  <c r="P24" i="26"/>
  <c r="P18" i="26"/>
  <c r="P25" i="26"/>
  <c r="P21" i="26"/>
  <c r="P29" i="26"/>
  <c r="P23" i="26"/>
  <c r="P20" i="26"/>
  <c r="P19" i="26"/>
  <c r="P19" i="27"/>
  <c r="P21" i="27"/>
  <c r="P18" i="27"/>
  <c r="P22" i="27"/>
  <c r="P20" i="27"/>
  <c r="AK18" i="27"/>
  <c r="AN18" i="27" s="1"/>
  <c r="AL25" i="25"/>
  <c r="AT25" i="25"/>
  <c r="P24" i="25"/>
  <c r="AT18" i="27"/>
  <c r="AL18" i="27"/>
  <c r="AT19" i="25"/>
  <c r="AL19" i="25"/>
  <c r="W11" i="27"/>
  <c r="Z11" i="27" s="1"/>
  <c r="V14" i="27"/>
  <c r="W9" i="25"/>
  <c r="Z9" i="25" s="1"/>
  <c r="V14" i="25"/>
  <c r="AK19" i="25"/>
  <c r="AN19" i="25" s="1"/>
  <c r="P19" i="25"/>
  <c r="AT26" i="25"/>
  <c r="P27" i="25"/>
  <c r="AT30" i="26"/>
  <c r="AL30" i="26"/>
  <c r="AT31" i="25"/>
  <c r="V14" i="26"/>
  <c r="W9" i="26"/>
  <c r="Z9" i="26" s="1"/>
  <c r="AT21" i="25"/>
  <c r="P30" i="25"/>
  <c r="AL28" i="25"/>
  <c r="AT28" i="25"/>
  <c r="P28" i="25"/>
  <c r="AN22" i="25"/>
  <c r="P18" i="25"/>
  <c r="U14" i="25"/>
  <c r="X9" i="25"/>
  <c r="X10" i="25"/>
  <c r="AM18" i="26"/>
  <c r="AN18" i="26" s="1"/>
  <c r="AM20" i="26"/>
  <c r="AB14" i="21"/>
  <c r="AJ14" i="21" s="1"/>
  <c r="AD14" i="21"/>
  <c r="AC14" i="21"/>
  <c r="F5" i="6"/>
  <c r="F8" i="6"/>
  <c r="F18" i="6"/>
  <c r="F13" i="6"/>
  <c r="F15" i="6"/>
  <c r="F9" i="6"/>
  <c r="F10" i="6"/>
  <c r="F6" i="6"/>
  <c r="F11" i="6"/>
  <c r="F20" i="6"/>
  <c r="F7" i="6"/>
  <c r="F12" i="6"/>
  <c r="F19" i="6"/>
  <c r="F14" i="6"/>
  <c r="F17" i="6"/>
  <c r="F16" i="6"/>
  <c r="F21" i="6"/>
  <c r="Y37" i="23"/>
  <c r="V29" i="23"/>
  <c r="W29" i="23"/>
  <c r="Z29" i="23"/>
  <c r="Y29" i="23"/>
  <c r="W43" i="23"/>
  <c r="W32" i="23"/>
  <c r="Z33" i="23"/>
  <c r="W37" i="23"/>
  <c r="V33" i="23"/>
  <c r="X33" i="23"/>
  <c r="X31" i="23"/>
  <c r="X32" i="23"/>
  <c r="Y31" i="23"/>
  <c r="X37" i="23"/>
  <c r="Z32" i="23"/>
  <c r="Y22" i="23"/>
  <c r="V19" i="23"/>
  <c r="V23" i="23"/>
  <c r="X41" i="23"/>
  <c r="Y18" i="23"/>
  <c r="X15" i="23"/>
  <c r="Y41" i="23"/>
  <c r="Z25" i="23"/>
  <c r="V34" i="23"/>
  <c r="V38" i="23"/>
  <c r="Y39" i="23"/>
  <c r="X38" i="23"/>
  <c r="V39" i="23"/>
  <c r="Y27" i="23"/>
  <c r="V35" i="23"/>
  <c r="Z24" i="23"/>
  <c r="X35" i="23"/>
  <c r="Z35" i="23"/>
  <c r="Z39" i="23"/>
  <c r="W35" i="23"/>
  <c r="Y35" i="23"/>
  <c r="Z34" i="23"/>
  <c r="W27" i="23"/>
  <c r="W24" i="23"/>
  <c r="X24" i="23"/>
  <c r="V18" i="23"/>
  <c r="X23" i="23"/>
  <c r="X27" i="23"/>
  <c r="X19" i="23"/>
  <c r="W23" i="23"/>
  <c r="V24" i="23"/>
  <c r="Y19" i="23"/>
  <c r="Y23" i="23"/>
  <c r="W40" i="23"/>
  <c r="Z17" i="23"/>
  <c r="X25" i="23"/>
  <c r="W15" i="23"/>
  <c r="V27" i="23"/>
  <c r="Y24" i="23"/>
  <c r="Y30" i="23"/>
  <c r="V36" i="23"/>
  <c r="V31" i="23"/>
  <c r="W33" i="23"/>
  <c r="V30" i="23"/>
  <c r="Y36" i="23"/>
  <c r="Y26" i="23"/>
  <c r="W28" i="23"/>
  <c r="X30" i="23"/>
  <c r="Y33" i="23"/>
  <c r="W25" i="23"/>
  <c r="V25" i="23"/>
  <c r="Z26" i="23"/>
  <c r="Y28" i="23"/>
  <c r="Z30" i="23"/>
  <c r="Y32" i="23"/>
  <c r="Z22" i="23"/>
  <c r="X22" i="23"/>
  <c r="W34" i="23"/>
  <c r="V14" i="23"/>
  <c r="V28" i="23"/>
  <c r="W31" i="23"/>
  <c r="X20" i="23"/>
  <c r="W26" i="23"/>
  <c r="X28" i="23"/>
  <c r="W30" i="23"/>
  <c r="V20" i="23"/>
  <c r="Z31" i="23"/>
  <c r="Z21" i="23"/>
  <c r="Y25" i="23"/>
  <c r="Z28" i="23"/>
  <c r="Y15" i="23"/>
  <c r="W20" i="23"/>
  <c r="V22" i="23"/>
  <c r="Z23" i="23"/>
  <c r="V26" i="23"/>
  <c r="Z27" i="23"/>
  <c r="X14" i="23"/>
  <c r="Y17" i="23"/>
  <c r="X29" i="23"/>
  <c r="V44" i="23"/>
  <c r="V45" i="23"/>
  <c r="W16" i="23"/>
  <c r="X18" i="23"/>
  <c r="W19" i="23"/>
  <c r="Z41" i="23"/>
  <c r="Z14" i="23"/>
  <c r="V41" i="23"/>
  <c r="Y16" i="23"/>
  <c r="Z18" i="23"/>
  <c r="Y20" i="23"/>
  <c r="W39" i="23"/>
  <c r="Z40" i="23"/>
  <c r="W22" i="23"/>
  <c r="V21" i="23"/>
  <c r="V17" i="23"/>
  <c r="Y21" i="23"/>
  <c r="W17" i="23"/>
  <c r="W21" i="23"/>
  <c r="Z45" i="23"/>
  <c r="Y42" i="23"/>
  <c r="Z44" i="23"/>
  <c r="V16" i="23"/>
  <c r="Z16" i="23"/>
  <c r="X39" i="23"/>
  <c r="W41" i="23"/>
  <c r="X45" i="23"/>
  <c r="W45" i="23"/>
  <c r="X16" i="23"/>
  <c r="W18" i="23"/>
  <c r="Z36" i="23"/>
  <c r="X26" i="23"/>
  <c r="Z19" i="23"/>
  <c r="W44" i="23"/>
  <c r="X43" i="23"/>
  <c r="X42" i="23"/>
  <c r="Y43" i="23"/>
  <c r="V43" i="23"/>
  <c r="V37" i="23"/>
  <c r="Z38" i="23"/>
  <c r="Y40" i="23"/>
  <c r="Z42" i="23"/>
  <c r="Y44" i="23"/>
  <c r="Z15" i="23"/>
  <c r="X34" i="23"/>
  <c r="Y14" i="23"/>
  <c r="X17" i="23"/>
  <c r="W14" i="23"/>
  <c r="X21" i="23"/>
  <c r="Z20" i="23"/>
  <c r="W36" i="23"/>
  <c r="Y38" i="23"/>
  <c r="Z37" i="23"/>
  <c r="V40" i="23"/>
  <c r="Y45" i="23"/>
  <c r="V42" i="23"/>
  <c r="Y34" i="23"/>
  <c r="X36" i="23"/>
  <c r="W38" i="23"/>
  <c r="X40" i="23"/>
  <c r="W42" i="23"/>
  <c r="X44" i="23"/>
  <c r="V32" i="23"/>
  <c r="Z43" i="23"/>
  <c r="V15" i="23"/>
  <c r="AF19" i="21"/>
  <c r="AG23" i="21"/>
  <c r="AF28" i="21"/>
  <c r="AG32" i="21"/>
  <c r="AF41" i="21"/>
  <c r="AG45" i="21"/>
  <c r="AG31" i="21"/>
  <c r="AG40" i="21"/>
  <c r="AF49" i="21"/>
  <c r="AG36" i="21"/>
  <c r="AG19" i="21"/>
  <c r="AF24" i="21"/>
  <c r="AG28" i="21"/>
  <c r="AF37" i="21"/>
  <c r="AG41" i="21"/>
  <c r="AG18" i="21"/>
  <c r="AG25" i="21"/>
  <c r="AG47" i="21"/>
  <c r="AF26" i="21"/>
  <c r="AG30" i="21"/>
  <c r="AF39" i="21"/>
  <c r="AG43" i="21"/>
  <c r="AF48" i="21"/>
  <c r="AF20" i="21"/>
  <c r="AG24" i="21"/>
  <c r="AF33" i="21"/>
  <c r="AG37" i="21"/>
  <c r="AF46" i="21"/>
  <c r="AF18" i="21"/>
  <c r="AF47" i="21"/>
  <c r="AG27" i="21"/>
  <c r="AG49" i="21"/>
  <c r="AG20" i="21"/>
  <c r="AF29" i="21"/>
  <c r="AG33" i="21"/>
  <c r="AF42" i="21"/>
  <c r="AG46" i="21"/>
  <c r="AG22" i="21"/>
  <c r="AF31" i="21"/>
  <c r="AG35" i="21"/>
  <c r="AF40" i="21"/>
  <c r="AG44" i="21"/>
  <c r="AF27" i="21"/>
  <c r="AF36" i="21"/>
  <c r="AF23" i="21"/>
  <c r="AF32" i="21"/>
  <c r="AF45" i="21"/>
  <c r="AF25" i="21"/>
  <c r="AG29" i="21"/>
  <c r="AF38" i="21"/>
  <c r="AG42" i="21"/>
  <c r="AF21" i="21"/>
  <c r="AF34" i="21"/>
  <c r="AG38" i="21"/>
  <c r="AG21" i="21"/>
  <c r="AF30" i="21"/>
  <c r="AG34" i="21"/>
  <c r="AF43" i="21"/>
  <c r="AF22" i="21"/>
  <c r="AG26" i="21"/>
  <c r="AF35" i="21"/>
  <c r="AG39" i="21"/>
  <c r="AF44" i="21"/>
  <c r="AG48" i="21"/>
  <c r="AD19" i="21"/>
  <c r="AD20" i="21"/>
  <c r="AD18" i="21"/>
  <c r="AD29" i="21"/>
  <c r="AD23" i="21"/>
  <c r="AD32" i="21"/>
  <c r="AD26" i="21"/>
  <c r="AD42" i="21"/>
  <c r="AD21" i="21"/>
  <c r="AD28" i="21"/>
  <c r="AD43" i="21"/>
  <c r="AD46" i="21"/>
  <c r="AD39" i="21"/>
  <c r="AD40" i="21"/>
  <c r="AD48" i="21"/>
  <c r="AD27" i="21"/>
  <c r="AD36" i="21"/>
  <c r="AD44" i="21"/>
  <c r="AD45" i="21"/>
  <c r="AD38" i="21"/>
  <c r="AD31" i="21"/>
  <c r="AD22" i="21"/>
  <c r="AD37" i="21"/>
  <c r="AD30" i="21"/>
  <c r="AD47" i="21"/>
  <c r="AD33" i="21"/>
  <c r="AD25" i="21"/>
  <c r="AD41" i="21"/>
  <c r="AD49" i="21"/>
  <c r="Y19" i="21"/>
  <c r="Z21" i="21"/>
  <c r="AA23" i="21"/>
  <c r="AA25" i="21"/>
  <c r="Z27" i="21"/>
  <c r="Z29" i="21"/>
  <c r="AA31" i="21"/>
  <c r="AA33" i="21"/>
  <c r="AA39" i="21"/>
  <c r="AA41" i="21"/>
  <c r="Y22" i="21"/>
  <c r="AA26" i="21"/>
  <c r="AA32" i="21"/>
  <c r="AA36" i="21"/>
  <c r="AA46" i="21"/>
  <c r="Z22" i="21"/>
  <c r="AK22" i="21" s="1"/>
  <c r="AA18" i="21"/>
  <c r="Z19" i="21"/>
  <c r="AA21" i="21"/>
  <c r="AA27" i="21"/>
  <c r="AA29" i="21"/>
  <c r="Z20" i="21"/>
  <c r="Z24" i="21"/>
  <c r="AA28" i="21"/>
  <c r="Z34" i="21"/>
  <c r="AA19" i="21"/>
  <c r="Y42" i="21"/>
  <c r="Z28" i="21"/>
  <c r="AA20" i="21"/>
  <c r="AA24" i="21"/>
  <c r="AA34" i="21"/>
  <c r="AA22" i="21"/>
  <c r="Y47" i="21"/>
  <c r="Z18" i="21"/>
  <c r="Y35" i="21"/>
  <c r="Y37" i="21"/>
  <c r="Y43" i="21"/>
  <c r="Y45" i="21"/>
  <c r="Z47" i="21"/>
  <c r="AK47" i="21" s="1"/>
  <c r="Y49" i="21"/>
  <c r="Y18" i="21"/>
  <c r="Y23" i="21"/>
  <c r="Y25" i="21"/>
  <c r="Y31" i="21"/>
  <c r="Z35" i="21"/>
  <c r="Z37" i="21"/>
  <c r="Y41" i="21"/>
  <c r="AA47" i="21"/>
  <c r="Z23" i="21"/>
  <c r="Y27" i="21"/>
  <c r="Z31" i="21"/>
  <c r="AA35" i="21"/>
  <c r="Z39" i="21"/>
  <c r="AA43" i="21"/>
  <c r="Y30" i="21"/>
  <c r="Y38" i="21"/>
  <c r="Y40" i="21"/>
  <c r="Z42" i="21"/>
  <c r="Y44" i="21"/>
  <c r="Y48" i="21"/>
  <c r="Y24" i="21"/>
  <c r="Z32" i="21"/>
  <c r="Z36" i="21"/>
  <c r="AK36" i="21" s="1"/>
  <c r="AA44" i="21"/>
  <c r="AA48" i="21"/>
  <c r="Y26" i="21"/>
  <c r="Y28" i="21"/>
  <c r="Z30" i="21"/>
  <c r="Y32" i="21"/>
  <c r="Y36" i="21"/>
  <c r="Z38" i="21"/>
  <c r="Z40" i="21"/>
  <c r="AA42" i="21"/>
  <c r="Z44" i="21"/>
  <c r="Y46" i="21"/>
  <c r="Z48" i="21"/>
  <c r="Y20" i="21"/>
  <c r="Z26" i="21"/>
  <c r="AA30" i="21"/>
  <c r="Y34" i="21"/>
  <c r="AA38" i="21"/>
  <c r="AA40" i="21"/>
  <c r="Z46" i="21"/>
  <c r="Y33" i="21"/>
  <c r="Y39" i="21"/>
  <c r="Z43" i="21"/>
  <c r="Z45" i="21"/>
  <c r="AK45" i="21" s="1"/>
  <c r="Z49" i="21"/>
  <c r="Y21" i="21"/>
  <c r="Z25" i="21"/>
  <c r="Y29" i="21"/>
  <c r="Z33" i="21"/>
  <c r="AK33" i="21" s="1"/>
  <c r="AA37" i="21"/>
  <c r="Z41" i="21"/>
  <c r="AK41" i="21" s="1"/>
  <c r="AA45" i="21"/>
  <c r="AA49" i="21"/>
  <c r="G28" i="4"/>
  <c r="Y28" i="4" s="1"/>
  <c r="G43" i="4"/>
  <c r="Y43" i="4" s="1"/>
  <c r="G50" i="4"/>
  <c r="Y50" i="4" s="1"/>
  <c r="G36" i="4"/>
  <c r="Y36" i="4" s="1"/>
  <c r="G47" i="4"/>
  <c r="Y47" i="4" s="1"/>
  <c r="G40" i="4"/>
  <c r="Y40" i="4" s="1"/>
  <c r="G33" i="4"/>
  <c r="Y33" i="4" s="1"/>
  <c r="G26" i="4"/>
  <c r="Y26" i="4" s="1"/>
  <c r="G25" i="4"/>
  <c r="Y25" i="4" s="1"/>
  <c r="G37" i="4"/>
  <c r="Y37" i="4" s="1"/>
  <c r="G29" i="4"/>
  <c r="Y29" i="4" s="1"/>
  <c r="G31" i="4"/>
  <c r="Y31" i="4" s="1"/>
  <c r="G54" i="4"/>
  <c r="Y54" i="4" s="1"/>
  <c r="G46" i="4"/>
  <c r="Y46" i="4" s="1"/>
  <c r="G45" i="4"/>
  <c r="Y45" i="4" s="1"/>
  <c r="G27" i="4"/>
  <c r="Y27" i="4" s="1"/>
  <c r="G52" i="4"/>
  <c r="Y52" i="4" s="1"/>
  <c r="G48" i="4"/>
  <c r="Y48" i="4" s="1"/>
  <c r="G41" i="4"/>
  <c r="Y41" i="4" s="1"/>
  <c r="G34" i="4"/>
  <c r="Y34" i="4" s="1"/>
  <c r="G55" i="4"/>
  <c r="Y55" i="4" s="1"/>
  <c r="G51" i="4"/>
  <c r="Y51" i="4" s="1"/>
  <c r="G53" i="4"/>
  <c r="Y53" i="4" s="1"/>
  <c r="G39" i="4"/>
  <c r="Y39" i="4" s="1"/>
  <c r="G49" i="4"/>
  <c r="Y49" i="4" s="1"/>
  <c r="G32" i="4"/>
  <c r="Y32" i="4" s="1"/>
  <c r="G38" i="4"/>
  <c r="Y38" i="4" s="1"/>
  <c r="G42" i="4"/>
  <c r="Y42" i="4" s="1"/>
  <c r="G35" i="4"/>
  <c r="Y35" i="4" s="1"/>
  <c r="G44" i="4"/>
  <c r="Y44" i="4" s="1"/>
  <c r="G30" i="4"/>
  <c r="Y30" i="4" s="1"/>
  <c r="AK32" i="21" l="1"/>
  <c r="AK49" i="21"/>
  <c r="AK28" i="21"/>
  <c r="AK25" i="21"/>
  <c r="AK26" i="21"/>
  <c r="AK19" i="21"/>
  <c r="AK29" i="21"/>
  <c r="AK39" i="21"/>
  <c r="AK27" i="21"/>
  <c r="AK40" i="21"/>
  <c r="AK38" i="21"/>
  <c r="AK37" i="21"/>
  <c r="AK23" i="21"/>
  <c r="AK48" i="21"/>
  <c r="AK43" i="21"/>
  <c r="AK34" i="21"/>
  <c r="AK31" i="21"/>
  <c r="AK44" i="21"/>
  <c r="AK21" i="21"/>
  <c r="AK46" i="21"/>
  <c r="AK24" i="21"/>
  <c r="AK42" i="21"/>
  <c r="AK18" i="21"/>
  <c r="AK20" i="21"/>
  <c r="AK35" i="21"/>
  <c r="AK30" i="21"/>
  <c r="AN20" i="26"/>
  <c r="W14" i="26"/>
  <c r="Y21" i="26"/>
  <c r="W14" i="25"/>
  <c r="Y20" i="26"/>
  <c r="X14" i="27"/>
  <c r="Y14" i="27"/>
  <c r="V25" i="26"/>
  <c r="Y30" i="26"/>
  <c r="AA21" i="26"/>
  <c r="V18" i="26"/>
  <c r="T29" i="26"/>
  <c r="T20" i="26"/>
  <c r="AE30" i="26"/>
  <c r="V22" i="26"/>
  <c r="U27" i="26"/>
  <c r="AE26" i="26"/>
  <c r="AE22" i="26"/>
  <c r="AB22" i="26"/>
  <c r="U24" i="26"/>
  <c r="V27" i="26"/>
  <c r="V30" i="26"/>
  <c r="T19" i="26"/>
  <c r="AA23" i="26"/>
  <c r="V19" i="26"/>
  <c r="V24" i="26"/>
  <c r="Y25" i="26"/>
  <c r="T23" i="26"/>
  <c r="U26" i="26"/>
  <c r="AA29" i="26"/>
  <c r="U18" i="26"/>
  <c r="AA22" i="26"/>
  <c r="AA18" i="26"/>
  <c r="V21" i="26"/>
  <c r="T22" i="26"/>
  <c r="U21" i="26"/>
  <c r="T24" i="26"/>
  <c r="AB28" i="26"/>
  <c r="AA24" i="26"/>
  <c r="AE20" i="26"/>
  <c r="U23" i="26"/>
  <c r="T26" i="26"/>
  <c r="AB29" i="26"/>
  <c r="AE21" i="26"/>
  <c r="T25" i="26"/>
  <c r="AA25" i="26"/>
  <c r="T30" i="26"/>
  <c r="U20" i="26"/>
  <c r="AE29" i="26"/>
  <c r="Y26" i="26"/>
  <c r="AB20" i="26"/>
  <c r="AE23" i="26"/>
  <c r="T21" i="26"/>
  <c r="U29" i="26"/>
  <c r="AB18" i="26"/>
  <c r="AB30" i="26"/>
  <c r="AE25" i="26"/>
  <c r="AA30" i="26"/>
  <c r="AA20" i="26"/>
  <c r="AE18" i="26"/>
  <c r="V20" i="26"/>
  <c r="AB27" i="26"/>
  <c r="Y27" i="26"/>
  <c r="Y28" i="26"/>
  <c r="U19" i="26"/>
  <c r="Y24" i="26"/>
  <c r="Y19" i="26"/>
  <c r="V29" i="26"/>
  <c r="U28" i="26"/>
  <c r="AE24" i="26"/>
  <c r="AA19" i="26"/>
  <c r="AB21" i="26"/>
  <c r="AE19" i="26"/>
  <c r="AA28" i="26"/>
  <c r="T28" i="26"/>
  <c r="T27" i="26"/>
  <c r="AE28" i="26"/>
  <c r="V26" i="26"/>
  <c r="U30" i="26"/>
  <c r="AE27" i="26"/>
  <c r="AA27" i="26"/>
  <c r="U22" i="26"/>
  <c r="AB26" i="26"/>
  <c r="U25" i="26"/>
  <c r="AB24" i="26"/>
  <c r="AB23" i="26"/>
  <c r="T18" i="26"/>
  <c r="AA26" i="26"/>
  <c r="Y18" i="26"/>
  <c r="AB19" i="26"/>
  <c r="AB25" i="26"/>
  <c r="V28" i="26"/>
  <c r="Y23" i="26"/>
  <c r="V23" i="26"/>
  <c r="Y22" i="26"/>
  <c r="Y29" i="26"/>
  <c r="X14" i="26"/>
  <c r="Y14" i="26"/>
  <c r="Z14" i="26" s="1"/>
  <c r="X14" i="25"/>
  <c r="Y14" i="25"/>
  <c r="Z14" i="25" s="1"/>
  <c r="W14" i="27"/>
  <c r="T28" i="25"/>
  <c r="V19" i="25"/>
  <c r="V33" i="25"/>
  <c r="U33" i="25"/>
  <c r="Y25" i="25"/>
  <c r="U23" i="25"/>
  <c r="AA28" i="25"/>
  <c r="AB30" i="25"/>
  <c r="AE31" i="25"/>
  <c r="AA22" i="25"/>
  <c r="T30" i="25"/>
  <c r="AA21" i="25"/>
  <c r="U25" i="25"/>
  <c r="AB33" i="25"/>
  <c r="AE27" i="25"/>
  <c r="AB29" i="25"/>
  <c r="V30" i="25"/>
  <c r="U34" i="25"/>
  <c r="AE26" i="25"/>
  <c r="U18" i="25"/>
  <c r="U32" i="25"/>
  <c r="AA31" i="25"/>
  <c r="AE24" i="25"/>
  <c r="T22" i="25"/>
  <c r="V26" i="25"/>
  <c r="T26" i="25"/>
  <c r="AE30" i="25"/>
  <c r="AA34" i="25"/>
  <c r="AB24" i="25"/>
  <c r="Y23" i="25"/>
  <c r="T31" i="25"/>
  <c r="T19" i="25"/>
  <c r="AE22" i="25"/>
  <c r="T21" i="25"/>
  <c r="U24" i="25"/>
  <c r="AA19" i="25"/>
  <c r="V31" i="25"/>
  <c r="U31" i="25"/>
  <c r="U20" i="25"/>
  <c r="V22" i="25"/>
  <c r="V25" i="25"/>
  <c r="T20" i="25"/>
  <c r="T29" i="25"/>
  <c r="AE33" i="25"/>
  <c r="AA27" i="25"/>
  <c r="AE18" i="25"/>
  <c r="Y20" i="25"/>
  <c r="AA18" i="25"/>
  <c r="AE32" i="25"/>
  <c r="V29" i="25"/>
  <c r="AA23" i="25"/>
  <c r="V20" i="25"/>
  <c r="AE29" i="25"/>
  <c r="AB18" i="25"/>
  <c r="AE21" i="25"/>
  <c r="AA20" i="25"/>
  <c r="V23" i="25"/>
  <c r="AB32" i="25"/>
  <c r="U28" i="25"/>
  <c r="V18" i="25"/>
  <c r="U19" i="25"/>
  <c r="AB27" i="25"/>
  <c r="V34" i="25"/>
  <c r="T34" i="25"/>
  <c r="AB22" i="25"/>
  <c r="U21" i="25"/>
  <c r="U27" i="25"/>
  <c r="AB25" i="25"/>
  <c r="AB26" i="25"/>
  <c r="AA30" i="25"/>
  <c r="AB28" i="25"/>
  <c r="T25" i="25"/>
  <c r="AB20" i="25"/>
  <c r="V27" i="25"/>
  <c r="AA33" i="25"/>
  <c r="U29" i="25"/>
  <c r="AB34" i="25"/>
  <c r="T24" i="25"/>
  <c r="AE34" i="25"/>
  <c r="AE28" i="25"/>
  <c r="U22" i="25"/>
  <c r="AA25" i="25"/>
  <c r="T27" i="25"/>
  <c r="Y34" i="25"/>
  <c r="T18" i="25"/>
  <c r="AA26" i="25"/>
  <c r="T33" i="25"/>
  <c r="Y18" i="25"/>
  <c r="AB21" i="25"/>
  <c r="Y29" i="25"/>
  <c r="T23" i="25"/>
  <c r="AE25" i="25"/>
  <c r="V32" i="25"/>
  <c r="W32" i="25" s="1"/>
  <c r="V21" i="25"/>
  <c r="T32" i="25"/>
  <c r="V24" i="25"/>
  <c r="AE20" i="25"/>
  <c r="V28" i="25"/>
  <c r="AA32" i="25"/>
  <c r="U30" i="25"/>
  <c r="AE23" i="25"/>
  <c r="AB19" i="25"/>
  <c r="AB31" i="25"/>
  <c r="U26" i="25"/>
  <c r="AA24" i="25"/>
  <c r="AE19" i="25"/>
  <c r="AA29" i="25"/>
  <c r="AB23" i="25"/>
  <c r="Y30" i="25"/>
  <c r="Y19" i="25"/>
  <c r="Y26" i="25"/>
  <c r="Y32" i="25"/>
  <c r="Y31" i="25"/>
  <c r="Y22" i="25"/>
  <c r="Y24" i="25"/>
  <c r="Y33" i="25"/>
  <c r="Y27" i="25"/>
  <c r="Y28" i="25"/>
  <c r="Y21" i="25"/>
  <c r="AB20" i="27"/>
  <c r="T21" i="27"/>
  <c r="AE19" i="27"/>
  <c r="AA19" i="27"/>
  <c r="U20" i="27"/>
  <c r="V19" i="27"/>
  <c r="Y19" i="27"/>
  <c r="AB18" i="27"/>
  <c r="U19" i="27"/>
  <c r="U18" i="27"/>
  <c r="AE20" i="27"/>
  <c r="V22" i="27"/>
  <c r="AE21" i="27"/>
  <c r="AB21" i="27"/>
  <c r="T20" i="27"/>
  <c r="V21" i="27"/>
  <c r="AA20" i="27"/>
  <c r="T19" i="27"/>
  <c r="U21" i="27"/>
  <c r="AB19" i="27"/>
  <c r="Y18" i="27"/>
  <c r="U22" i="27"/>
  <c r="AE22" i="27"/>
  <c r="Y21" i="27"/>
  <c r="V20" i="27"/>
  <c r="AA18" i="27"/>
  <c r="AE18" i="27"/>
  <c r="V18" i="27"/>
  <c r="AB22" i="27"/>
  <c r="Y22" i="27"/>
  <c r="T18" i="27"/>
  <c r="AA22" i="27"/>
  <c r="T22" i="27"/>
  <c r="AA21" i="27"/>
  <c r="Y20" i="27"/>
  <c r="AE14" i="21"/>
  <c r="K6" i="6"/>
  <c r="K10" i="6"/>
  <c r="K14" i="6"/>
  <c r="K18" i="6"/>
  <c r="M5" i="6"/>
  <c r="O5" i="6" s="1"/>
  <c r="J15" i="6"/>
  <c r="L7" i="6"/>
  <c r="L11" i="6"/>
  <c r="L15" i="6"/>
  <c r="L19" i="6"/>
  <c r="J7" i="6"/>
  <c r="J19" i="6"/>
  <c r="K8" i="6"/>
  <c r="K16" i="6"/>
  <c r="J9" i="6"/>
  <c r="L12" i="6"/>
  <c r="J11" i="6"/>
  <c r="L9" i="6"/>
  <c r="L13" i="6"/>
  <c r="L17" i="6"/>
  <c r="L21" i="6"/>
  <c r="J13" i="6"/>
  <c r="M9" i="6"/>
  <c r="O9" i="6" s="1"/>
  <c r="M21" i="6"/>
  <c r="O21" i="6" s="1"/>
  <c r="L6" i="6"/>
  <c r="L10" i="6"/>
  <c r="L14" i="6"/>
  <c r="L18" i="6"/>
  <c r="L5" i="6"/>
  <c r="J16" i="6"/>
  <c r="K9" i="6"/>
  <c r="K13" i="6"/>
  <c r="K17" i="6"/>
  <c r="P17" i="6" s="1"/>
  <c r="K21" i="6"/>
  <c r="J12" i="6"/>
  <c r="M13" i="6"/>
  <c r="O13" i="6" s="1"/>
  <c r="M17" i="6"/>
  <c r="O17" i="6" s="1"/>
  <c r="J14" i="6"/>
  <c r="M6" i="6"/>
  <c r="O6" i="6" s="1"/>
  <c r="M10" i="6"/>
  <c r="O10" i="6" s="1"/>
  <c r="M14" i="6"/>
  <c r="O14" i="6" s="1"/>
  <c r="M18" i="6"/>
  <c r="O18" i="6" s="1"/>
  <c r="K5" i="6"/>
  <c r="J17" i="6"/>
  <c r="K7" i="6"/>
  <c r="K11" i="6"/>
  <c r="K15" i="6"/>
  <c r="K19" i="6"/>
  <c r="J6" i="6"/>
  <c r="J18" i="6"/>
  <c r="M7" i="6"/>
  <c r="O7" i="6" s="1"/>
  <c r="M11" i="6"/>
  <c r="O11" i="6" s="1"/>
  <c r="M15" i="6"/>
  <c r="O15" i="6" s="1"/>
  <c r="M19" i="6"/>
  <c r="O19" i="6" s="1"/>
  <c r="J8" i="6"/>
  <c r="J20" i="6"/>
  <c r="K12" i="6"/>
  <c r="K20" i="6"/>
  <c r="J21" i="6"/>
  <c r="L8" i="6"/>
  <c r="L16" i="6"/>
  <c r="L20" i="6"/>
  <c r="J10" i="6"/>
  <c r="J5" i="6"/>
  <c r="M8" i="6"/>
  <c r="O8" i="6" s="1"/>
  <c r="M12" i="6"/>
  <c r="O12" i="6" s="1"/>
  <c r="M16" i="6"/>
  <c r="O16" i="6" s="1"/>
  <c r="M20" i="6"/>
  <c r="O20" i="6" s="1"/>
  <c r="AH34" i="21"/>
  <c r="AH26" i="21"/>
  <c r="AH33" i="21"/>
  <c r="AH19" i="21"/>
  <c r="AH37" i="21"/>
  <c r="AH38" i="21"/>
  <c r="AH36" i="21"/>
  <c r="AH40" i="21"/>
  <c r="AH21" i="21"/>
  <c r="AH31" i="21"/>
  <c r="AH28" i="21"/>
  <c r="AH44" i="21"/>
  <c r="AH35" i="21"/>
  <c r="AH42" i="21"/>
  <c r="AH41" i="21"/>
  <c r="AH43" i="21"/>
  <c r="AH20" i="21"/>
  <c r="AH45" i="21"/>
  <c r="AH32" i="21"/>
  <c r="AH39" i="21"/>
  <c r="AH22" i="21"/>
  <c r="AH23" i="21"/>
  <c r="AH49" i="21"/>
  <c r="AH30" i="21"/>
  <c r="AH27" i="21"/>
  <c r="AH47" i="21"/>
  <c r="AH25" i="21"/>
  <c r="AH48" i="21"/>
  <c r="AH18" i="21"/>
  <c r="AH29" i="21"/>
  <c r="AH46" i="21"/>
  <c r="AH24" i="21"/>
  <c r="AB27" i="21"/>
  <c r="AB29" i="21"/>
  <c r="AB30" i="21"/>
  <c r="AB47" i="21"/>
  <c r="AB22" i="21"/>
  <c r="AB42" i="21"/>
  <c r="AB21" i="21"/>
  <c r="AB34" i="21"/>
  <c r="AJ34" i="21" s="1"/>
  <c r="AB26" i="21"/>
  <c r="AB41" i="21"/>
  <c r="AB39" i="21"/>
  <c r="AB33" i="21"/>
  <c r="AB18" i="21"/>
  <c r="AB31" i="21"/>
  <c r="AB28" i="21"/>
  <c r="AB48" i="21"/>
  <c r="AB23" i="21"/>
  <c r="AC43" i="21"/>
  <c r="AB44" i="21"/>
  <c r="AC35" i="21"/>
  <c r="AB49" i="21"/>
  <c r="AB36" i="21"/>
  <c r="AC36" i="21"/>
  <c r="AC29" i="21"/>
  <c r="AC49" i="21"/>
  <c r="AC48" i="21"/>
  <c r="AC19" i="21"/>
  <c r="AB45" i="21"/>
  <c r="AC32" i="21"/>
  <c r="AC41" i="21"/>
  <c r="AC40" i="21"/>
  <c r="AB43" i="21"/>
  <c r="AC18" i="21"/>
  <c r="AB40" i="21"/>
  <c r="AC38" i="21"/>
  <c r="AC39" i="21"/>
  <c r="AB20" i="21"/>
  <c r="AC27" i="21"/>
  <c r="AC33" i="21"/>
  <c r="AB38" i="21"/>
  <c r="AB35" i="21"/>
  <c r="AJ35" i="21" s="1"/>
  <c r="AC28" i="21"/>
  <c r="AB24" i="21"/>
  <c r="AJ24" i="21" s="1"/>
  <c r="AC24" i="21"/>
  <c r="AC22" i="21"/>
  <c r="AB25" i="21"/>
  <c r="AC45" i="21"/>
  <c r="AC37" i="21"/>
  <c r="AC44" i="21"/>
  <c r="AB19" i="21"/>
  <c r="AC46" i="21"/>
  <c r="AC34" i="21"/>
  <c r="AB37" i="21"/>
  <c r="AC42" i="21"/>
  <c r="AC31" i="21"/>
  <c r="AC47" i="21"/>
  <c r="AC20" i="21"/>
  <c r="AB46" i="21"/>
  <c r="AC25" i="21"/>
  <c r="AC30" i="21"/>
  <c r="AC21" i="21"/>
  <c r="AC26" i="21"/>
  <c r="AC23" i="21"/>
  <c r="AB32" i="21"/>
  <c r="O12" i="4"/>
  <c r="P8" i="6" l="1"/>
  <c r="P15" i="6"/>
  <c r="P11" i="6"/>
  <c r="P21" i="6"/>
  <c r="P12" i="6"/>
  <c r="P7" i="6"/>
  <c r="P13" i="6"/>
  <c r="P16" i="6"/>
  <c r="P10" i="6"/>
  <c r="P19" i="6"/>
  <c r="P14" i="6"/>
  <c r="P20" i="6"/>
  <c r="P5" i="6"/>
  <c r="P9" i="6"/>
  <c r="P6" i="6"/>
  <c r="P18" i="6"/>
  <c r="AE27" i="21"/>
  <c r="AJ27" i="21"/>
  <c r="AE41" i="21"/>
  <c r="AJ41" i="21"/>
  <c r="AE44" i="21"/>
  <c r="AJ44" i="21"/>
  <c r="AE20" i="21"/>
  <c r="AJ20" i="21"/>
  <c r="AE33" i="21"/>
  <c r="AJ33" i="21"/>
  <c r="AE39" i="21"/>
  <c r="AJ39" i="21"/>
  <c r="AE25" i="21"/>
  <c r="AJ25" i="21"/>
  <c r="AE43" i="21"/>
  <c r="AJ43" i="21"/>
  <c r="AE42" i="21"/>
  <c r="AJ42" i="21"/>
  <c r="AE19" i="21"/>
  <c r="AJ19" i="21"/>
  <c r="AE29" i="21"/>
  <c r="AJ29" i="21"/>
  <c r="AE46" i="21"/>
  <c r="AJ46" i="21"/>
  <c r="AE40" i="21"/>
  <c r="AJ40" i="21"/>
  <c r="AE37" i="21"/>
  <c r="AJ37" i="21"/>
  <c r="AE23" i="21"/>
  <c r="AJ23" i="21"/>
  <c r="AE22" i="21"/>
  <c r="AJ22" i="21"/>
  <c r="AE31" i="21"/>
  <c r="AJ31" i="21"/>
  <c r="AE49" i="21"/>
  <c r="AJ49" i="21"/>
  <c r="AE32" i="21"/>
  <c r="AJ32" i="21"/>
  <c r="AE38" i="21"/>
  <c r="AJ38" i="21"/>
  <c r="AE45" i="21"/>
  <c r="AJ45" i="21"/>
  <c r="AE48" i="21"/>
  <c r="AJ48" i="21"/>
  <c r="AE47" i="21"/>
  <c r="AJ47" i="21"/>
  <c r="AE18" i="21"/>
  <c r="AJ18" i="21"/>
  <c r="AE36" i="21"/>
  <c r="AJ36" i="21"/>
  <c r="AE26" i="21"/>
  <c r="AJ26" i="21"/>
  <c r="AE21" i="21"/>
  <c r="AJ21" i="21"/>
  <c r="AE28" i="21"/>
  <c r="AJ28" i="21"/>
  <c r="AE30" i="21"/>
  <c r="AJ30" i="21"/>
  <c r="AC19" i="25"/>
  <c r="AC18" i="25"/>
  <c r="AC26" i="26"/>
  <c r="W18" i="26"/>
  <c r="Z18" i="26" s="1"/>
  <c r="AC19" i="27"/>
  <c r="AC18" i="27"/>
  <c r="AC21" i="26"/>
  <c r="W29" i="26"/>
  <c r="Z29" i="26" s="1"/>
  <c r="W24" i="25"/>
  <c r="Z24" i="25" s="1"/>
  <c r="W20" i="26"/>
  <c r="Z20" i="26" s="1"/>
  <c r="W19" i="26"/>
  <c r="Z19" i="26" s="1"/>
  <c r="AC21" i="25"/>
  <c r="W25" i="25"/>
  <c r="Z25" i="25" s="1"/>
  <c r="W23" i="26"/>
  <c r="Z23" i="26" s="1"/>
  <c r="AC29" i="26"/>
  <c r="W28" i="26"/>
  <c r="Z28" i="26" s="1"/>
  <c r="W28" i="25"/>
  <c r="Z28" i="25" s="1"/>
  <c r="W33" i="25"/>
  <c r="Z33" i="25" s="1"/>
  <c r="AC30" i="26"/>
  <c r="W26" i="26"/>
  <c r="Z26" i="26" s="1"/>
  <c r="W21" i="25"/>
  <c r="Z21" i="25" s="1"/>
  <c r="AC32" i="25"/>
  <c r="AC20" i="26"/>
  <c r="W22" i="26"/>
  <c r="Z22" i="26" s="1"/>
  <c r="Z32" i="25"/>
  <c r="AC26" i="25"/>
  <c r="W23" i="25"/>
  <c r="Z23" i="25" s="1"/>
  <c r="AC23" i="26"/>
  <c r="AC27" i="26"/>
  <c r="W24" i="26"/>
  <c r="Z24" i="26" s="1"/>
  <c r="W30" i="26"/>
  <c r="Z30" i="26" s="1"/>
  <c r="W20" i="25"/>
  <c r="Z20" i="25" s="1"/>
  <c r="AC29" i="25"/>
  <c r="W27" i="26"/>
  <c r="Z27" i="26" s="1"/>
  <c r="Z14" i="27"/>
  <c r="AF18" i="27"/>
  <c r="X18" i="27"/>
  <c r="AF22" i="25"/>
  <c r="X22" i="25"/>
  <c r="X19" i="27"/>
  <c r="AF19" i="27"/>
  <c r="AC30" i="25"/>
  <c r="AF27" i="25"/>
  <c r="X27" i="25"/>
  <c r="AF21" i="26"/>
  <c r="X21" i="26"/>
  <c r="AF34" i="25"/>
  <c r="X34" i="25"/>
  <c r="W19" i="27"/>
  <c r="Z19" i="27" s="1"/>
  <c r="AC34" i="25"/>
  <c r="AC22" i="25"/>
  <c r="AC24" i="25"/>
  <c r="W30" i="25"/>
  <c r="Z30" i="25" s="1"/>
  <c r="X22" i="26"/>
  <c r="AF22" i="26"/>
  <c r="W21" i="26"/>
  <c r="Z21" i="26" s="1"/>
  <c r="AC25" i="25"/>
  <c r="AC31" i="25"/>
  <c r="AF25" i="26"/>
  <c r="X25" i="26"/>
  <c r="AF30" i="25"/>
  <c r="X30" i="25"/>
  <c r="AF29" i="25"/>
  <c r="X29" i="25"/>
  <c r="W22" i="25"/>
  <c r="Z22" i="25" s="1"/>
  <c r="X33" i="25"/>
  <c r="AF33" i="25"/>
  <c r="X28" i="26"/>
  <c r="AF28" i="26"/>
  <c r="AF22" i="27"/>
  <c r="X22" i="27"/>
  <c r="AC24" i="26"/>
  <c r="AF20" i="26"/>
  <c r="X20" i="26"/>
  <c r="X20" i="25"/>
  <c r="AF20" i="25"/>
  <c r="AF24" i="26"/>
  <c r="X24" i="26"/>
  <c r="W25" i="26"/>
  <c r="Z25" i="26" s="1"/>
  <c r="AF21" i="25"/>
  <c r="X21" i="25"/>
  <c r="W34" i="25"/>
  <c r="Z34" i="25" s="1"/>
  <c r="W27" i="25"/>
  <c r="Z27" i="25" s="1"/>
  <c r="AC27" i="25"/>
  <c r="W29" i="25"/>
  <c r="Z29" i="25" s="1"/>
  <c r="X31" i="25"/>
  <c r="AF31" i="25"/>
  <c r="AC33" i="25"/>
  <c r="W19" i="25"/>
  <c r="Z19" i="25" s="1"/>
  <c r="AC25" i="26"/>
  <c r="X30" i="26"/>
  <c r="AF30" i="26"/>
  <c r="AC18" i="26"/>
  <c r="X18" i="26"/>
  <c r="AF18" i="26"/>
  <c r="AC22" i="26"/>
  <c r="AC28" i="26"/>
  <c r="X26" i="25"/>
  <c r="AF26" i="25"/>
  <c r="AC22" i="27"/>
  <c r="W21" i="27"/>
  <c r="Z21" i="27" s="1"/>
  <c r="AC21" i="27"/>
  <c r="AC20" i="25"/>
  <c r="X19" i="25"/>
  <c r="AF19" i="25"/>
  <c r="W31" i="25"/>
  <c r="Z31" i="25" s="1"/>
  <c r="W26" i="25"/>
  <c r="Z26" i="25" s="1"/>
  <c r="X25" i="25"/>
  <c r="AF25" i="25"/>
  <c r="AC19" i="26"/>
  <c r="X29" i="26"/>
  <c r="AF29" i="26"/>
  <c r="X18" i="25"/>
  <c r="AF18" i="25"/>
  <c r="AF21" i="27"/>
  <c r="X21" i="27"/>
  <c r="X23" i="25"/>
  <c r="AF23" i="25"/>
  <c r="AF20" i="27"/>
  <c r="X20" i="27"/>
  <c r="W18" i="27"/>
  <c r="Z18" i="27" s="1"/>
  <c r="W20" i="27"/>
  <c r="Z20" i="27" s="1"/>
  <c r="AC20" i="27"/>
  <c r="AC23" i="25"/>
  <c r="W18" i="25"/>
  <c r="Z18" i="25" s="1"/>
  <c r="X19" i="26"/>
  <c r="AF19" i="26"/>
  <c r="AF23" i="26"/>
  <c r="X23" i="26"/>
  <c r="AF26" i="26"/>
  <c r="X26" i="26"/>
  <c r="X32" i="25"/>
  <c r="AF32" i="25"/>
  <c r="W22" i="27"/>
  <c r="Z22" i="27" s="1"/>
  <c r="AC28" i="25"/>
  <c r="AF28" i="25"/>
  <c r="X28" i="25"/>
  <c r="AF24" i="25"/>
  <c r="X24" i="25"/>
  <c r="X27" i="26"/>
  <c r="AF27" i="26"/>
  <c r="N12" i="4"/>
  <c r="Q16" i="4"/>
  <c r="P16" i="4"/>
  <c r="P17" i="4"/>
  <c r="Q9" i="4"/>
  <c r="P8" i="4"/>
  <c r="P19" i="4"/>
  <c r="Q17" i="4"/>
  <c r="P11" i="4"/>
  <c r="P7" i="4"/>
  <c r="P10" i="4"/>
  <c r="P6" i="4"/>
  <c r="G24" i="4"/>
  <c r="Y24" i="4" s="1"/>
  <c r="Q19" i="4"/>
  <c r="Q7" i="4"/>
  <c r="Q18" i="4"/>
  <c r="Q15" i="4"/>
  <c r="Q8" i="4"/>
  <c r="Q10" i="4"/>
  <c r="P15" i="4"/>
  <c r="Q11" i="4"/>
  <c r="P9" i="4"/>
  <c r="Q6" i="4"/>
  <c r="Q5" i="4"/>
  <c r="P5" i="4"/>
  <c r="N20" i="4"/>
  <c r="O20" i="4"/>
  <c r="P18" i="4"/>
  <c r="I24" i="4" l="1"/>
  <c r="I25" i="4"/>
  <c r="I45" i="4"/>
  <c r="I51" i="4"/>
  <c r="I41" i="4"/>
  <c r="I55" i="4"/>
  <c r="I37" i="4"/>
  <c r="I31" i="4"/>
  <c r="I42" i="4"/>
  <c r="I49" i="4"/>
  <c r="I29" i="4"/>
  <c r="I30" i="4"/>
  <c r="I27" i="4"/>
  <c r="I54" i="4"/>
  <c r="I50" i="4"/>
  <c r="I39" i="4"/>
  <c r="I52" i="4"/>
  <c r="I32" i="4"/>
  <c r="I40" i="4"/>
  <c r="I44" i="4"/>
  <c r="I47" i="4"/>
  <c r="I34" i="4"/>
  <c r="I48" i="4"/>
  <c r="I26" i="4"/>
  <c r="I36" i="4"/>
  <c r="I35" i="4"/>
  <c r="I53" i="4"/>
  <c r="I43" i="4"/>
  <c r="I46" i="4"/>
  <c r="I38" i="4"/>
  <c r="I28" i="4"/>
  <c r="I33" i="4"/>
  <c r="Q12" i="4"/>
  <c r="Q20" i="4"/>
  <c r="P12" i="4"/>
  <c r="P20" i="4"/>
  <c r="S35" i="4" l="1"/>
  <c r="S47" i="4"/>
  <c r="S25" i="4"/>
  <c r="S49" i="4"/>
  <c r="S26" i="4"/>
  <c r="S39" i="4"/>
  <c r="S28" i="4"/>
  <c r="S40" i="4"/>
  <c r="S30" i="4"/>
  <c r="S54" i="4"/>
  <c r="S46" i="4"/>
  <c r="S36" i="4"/>
  <c r="S48" i="4"/>
  <c r="S37" i="4"/>
  <c r="S38" i="4"/>
  <c r="S50" i="4"/>
  <c r="S27" i="4"/>
  <c r="S51" i="4"/>
  <c r="S52" i="4"/>
  <c r="S29" i="4"/>
  <c r="S41" i="4"/>
  <c r="S53" i="4"/>
  <c r="S42" i="4"/>
  <c r="S34" i="4"/>
  <c r="S31" i="4"/>
  <c r="S43" i="4"/>
  <c r="S55" i="4"/>
  <c r="S32" i="4"/>
  <c r="S44" i="4"/>
  <c r="S24" i="4"/>
  <c r="S33" i="4"/>
  <c r="S45" i="4"/>
  <c r="O55" i="4"/>
  <c r="O33" i="4"/>
  <c r="N53" i="4"/>
  <c r="N42" i="4"/>
  <c r="N31" i="4"/>
  <c r="Z35" i="4" s="1"/>
  <c r="M51" i="4"/>
  <c r="M40" i="4"/>
  <c r="M29" i="4"/>
  <c r="N34" i="4"/>
  <c r="O54" i="4"/>
  <c r="O43" i="4"/>
  <c r="O32" i="4"/>
  <c r="N52" i="4"/>
  <c r="N41" i="4"/>
  <c r="N30" i="4"/>
  <c r="M50" i="4"/>
  <c r="M39" i="4"/>
  <c r="M28" i="4"/>
  <c r="M32" i="4"/>
  <c r="O35" i="4"/>
  <c r="O53" i="4"/>
  <c r="O42" i="4"/>
  <c r="O31" i="4"/>
  <c r="N51" i="4"/>
  <c r="N40" i="4"/>
  <c r="N29" i="4"/>
  <c r="M49" i="4"/>
  <c r="M27" i="4"/>
  <c r="M31" i="4"/>
  <c r="O52" i="4"/>
  <c r="O41" i="4"/>
  <c r="O30" i="4"/>
  <c r="N50" i="4"/>
  <c r="N39" i="4"/>
  <c r="N28" i="4"/>
  <c r="M48" i="4"/>
  <c r="M38" i="4"/>
  <c r="M26" i="4"/>
  <c r="M53" i="4"/>
  <c r="O51" i="4"/>
  <c r="O40" i="4"/>
  <c r="O29" i="4"/>
  <c r="N49" i="4"/>
  <c r="N27" i="4"/>
  <c r="M47" i="4"/>
  <c r="M37" i="4"/>
  <c r="M25" i="4"/>
  <c r="O46" i="4"/>
  <c r="O50" i="4"/>
  <c r="O39" i="4"/>
  <c r="O28" i="4"/>
  <c r="N48" i="4"/>
  <c r="N38" i="4"/>
  <c r="N26" i="4"/>
  <c r="Z47" i="4" s="1"/>
  <c r="M46" i="4"/>
  <c r="M36" i="4"/>
  <c r="M24" i="4"/>
  <c r="O36" i="4"/>
  <c r="O49" i="4"/>
  <c r="O27" i="4"/>
  <c r="N47" i="4"/>
  <c r="N37" i="4"/>
  <c r="N25" i="4"/>
  <c r="M45" i="4"/>
  <c r="M35" i="4"/>
  <c r="O24" i="4"/>
  <c r="O45" i="4"/>
  <c r="O48" i="4"/>
  <c r="O38" i="4"/>
  <c r="O26" i="4"/>
  <c r="N46" i="4"/>
  <c r="N36" i="4"/>
  <c r="N24" i="4"/>
  <c r="M44" i="4"/>
  <c r="M34" i="4"/>
  <c r="M43" i="4"/>
  <c r="M42" i="4"/>
  <c r="O47" i="4"/>
  <c r="O37" i="4"/>
  <c r="O25" i="4"/>
  <c r="N45" i="4"/>
  <c r="N35" i="4"/>
  <c r="M55" i="4"/>
  <c r="M33" i="4"/>
  <c r="M54" i="4"/>
  <c r="N55" i="4"/>
  <c r="Z45" i="4" s="1"/>
  <c r="O44" i="4"/>
  <c r="O34" i="4"/>
  <c r="N54" i="4"/>
  <c r="N43" i="4"/>
  <c r="N32" i="4"/>
  <c r="Z28" i="4" s="1"/>
  <c r="M52" i="4"/>
  <c r="M41" i="4"/>
  <c r="M30" i="4"/>
  <c r="N44" i="4"/>
  <c r="N33" i="4"/>
  <c r="T53" i="4" l="1"/>
  <c r="Z52" i="4"/>
  <c r="Z27" i="4"/>
  <c r="Z31" i="4"/>
  <c r="Z34" i="4"/>
  <c r="AC34" i="4"/>
  <c r="Z33" i="4"/>
  <c r="Z29" i="4"/>
  <c r="Z46" i="4"/>
  <c r="Z24" i="4"/>
  <c r="Z43" i="4"/>
  <c r="Z37" i="4"/>
  <c r="Z55" i="4"/>
  <c r="Z49" i="4"/>
  <c r="AC49" i="4"/>
  <c r="Z40" i="4"/>
  <c r="T48" i="4"/>
  <c r="T42" i="4"/>
  <c r="Z44" i="4"/>
  <c r="Z48" i="4"/>
  <c r="Z25" i="4"/>
  <c r="AC25" i="4"/>
  <c r="T30" i="4"/>
  <c r="Z36" i="4"/>
  <c r="Z30" i="4"/>
  <c r="Z42" i="4"/>
  <c r="Z38" i="4"/>
  <c r="AC41" i="4"/>
  <c r="Z41" i="4"/>
  <c r="Z51" i="4"/>
  <c r="T25" i="4"/>
  <c r="AC39" i="4"/>
  <c r="Z39" i="4"/>
  <c r="Z53" i="4"/>
  <c r="Z32" i="4"/>
  <c r="T55" i="4"/>
  <c r="T37" i="4"/>
  <c r="Z26" i="4"/>
  <c r="T47" i="4"/>
  <c r="Z54" i="4"/>
  <c r="T24" i="4"/>
  <c r="T29" i="4"/>
  <c r="T35" i="4"/>
  <c r="T52" i="4"/>
  <c r="T41" i="4"/>
  <c r="T40" i="4"/>
  <c r="T28" i="4"/>
  <c r="T39" i="4"/>
  <c r="T36" i="4"/>
  <c r="T46" i="4"/>
  <c r="T45" i="4"/>
  <c r="T50" i="4"/>
  <c r="T34" i="4"/>
  <c r="T27" i="4"/>
  <c r="T33" i="4"/>
  <c r="T51" i="4"/>
  <c r="T32" i="4"/>
  <c r="T49" i="4"/>
  <c r="T43" i="4"/>
  <c r="T26" i="4"/>
  <c r="T44" i="4"/>
  <c r="T54" i="4"/>
  <c r="T38" i="4"/>
  <c r="T31" i="4"/>
  <c r="Q40" i="4"/>
  <c r="AC27" i="4" s="1"/>
  <c r="Q30" i="4"/>
  <c r="AC40" i="4" s="1"/>
  <c r="Q43" i="4"/>
  <c r="AC46" i="4" s="1"/>
  <c r="P53" i="4"/>
  <c r="Q52" i="4"/>
  <c r="AC31" i="4" s="1"/>
  <c r="P55" i="4"/>
  <c r="Q50" i="4"/>
  <c r="AC30" i="4" s="1"/>
  <c r="Q38" i="4"/>
  <c r="AC54" i="4" s="1"/>
  <c r="Q26" i="4"/>
  <c r="AC47" i="4" s="1"/>
  <c r="Q45" i="4"/>
  <c r="AC43" i="4" s="1"/>
  <c r="P28" i="4"/>
  <c r="P51" i="4"/>
  <c r="Q47" i="4"/>
  <c r="AC44" i="4" s="1"/>
  <c r="P41" i="4"/>
  <c r="P31" i="4"/>
  <c r="P32" i="4"/>
  <c r="Q39" i="4"/>
  <c r="AC33" i="4" s="1"/>
  <c r="Q44" i="4"/>
  <c r="Q37" i="4"/>
  <c r="AC29" i="4" s="1"/>
  <c r="P36" i="4"/>
  <c r="P25" i="4"/>
  <c r="Q34" i="4"/>
  <c r="AC37" i="4" s="1"/>
  <c r="Q33" i="4"/>
  <c r="P54" i="4"/>
  <c r="P38" i="4"/>
  <c r="P48" i="4"/>
  <c r="Q48" i="4"/>
  <c r="AC36" i="4" s="1"/>
  <c r="P42" i="4"/>
  <c r="Q42" i="4"/>
  <c r="P45" i="4"/>
  <c r="P30" i="4"/>
  <c r="Q55" i="4"/>
  <c r="AC45" i="4" s="1"/>
  <c r="P39" i="4"/>
  <c r="Q53" i="4"/>
  <c r="AC38" i="4" s="1"/>
  <c r="P29" i="4"/>
  <c r="Q29" i="4"/>
  <c r="AC53" i="4" s="1"/>
  <c r="P37" i="4"/>
  <c r="P35" i="4"/>
  <c r="Q35" i="4"/>
  <c r="AC48" i="4" s="1"/>
  <c r="P34" i="4"/>
  <c r="P40" i="4"/>
  <c r="Q31" i="4"/>
  <c r="AC35" i="4" s="1"/>
  <c r="P26" i="4"/>
  <c r="Q54" i="4"/>
  <c r="AC51" i="4" s="1"/>
  <c r="P44" i="4"/>
  <c r="P43" i="4"/>
  <c r="Q41" i="4"/>
  <c r="AC24" i="4" s="1"/>
  <c r="P47" i="4"/>
  <c r="Q28" i="4"/>
  <c r="Q46" i="4"/>
  <c r="AC26" i="4" s="1"/>
  <c r="P46" i="4"/>
  <c r="P50" i="4"/>
  <c r="P49" i="4"/>
  <c r="Q49" i="4"/>
  <c r="AC55" i="4" s="1"/>
  <c r="Q36" i="4"/>
  <c r="AC32" i="4" s="1"/>
  <c r="P52" i="4"/>
  <c r="P27" i="4"/>
  <c r="Q27" i="4"/>
  <c r="AC42" i="4" s="1"/>
  <c r="Q25" i="4"/>
  <c r="Q51" i="4"/>
  <c r="P33" i="4"/>
  <c r="Q32" i="4"/>
  <c r="AC28" i="4" s="1"/>
  <c r="Q24" i="4"/>
  <c r="AC52" i="4" s="1"/>
  <c r="P24" i="4"/>
  <c r="Z50" i="4" l="1"/>
  <c r="AC50" i="4"/>
  <c r="Q18" i="21" l="1"/>
  <c r="AD24" i="21" s="1"/>
  <c r="AE24" i="21" s="1"/>
  <c r="AD10" i="21"/>
  <c r="AE10" i="21" s="1"/>
  <c r="AD35" i="21" l="1"/>
  <c r="AE35" i="21" s="1"/>
  <c r="AD34" i="21"/>
  <c r="AE34" i="21" s="1"/>
  <c r="AR18" i="21"/>
  <c r="AS18" i="2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<sst xmlns="http://schemas.openxmlformats.org/spreadsheetml/2006/main" count="21481" uniqueCount="661">
  <si>
    <t>FDP Link Here</t>
  </si>
  <si>
    <t>Eng Trust Tab</t>
  </si>
  <si>
    <t>LDN Staff Group Tab</t>
  </si>
  <si>
    <t>LDN Ethnicity Group Tab</t>
  </si>
  <si>
    <t>trust_code</t>
  </si>
  <si>
    <t>trust_name</t>
  </si>
  <si>
    <t>region</t>
  </si>
  <si>
    <t>icb</t>
  </si>
  <si>
    <t>fl_staff</t>
  </si>
  <si>
    <t>fl_doses</t>
  </si>
  <si>
    <t>fl_uptake</t>
  </si>
  <si>
    <t>fl_5%_target</t>
  </si>
  <si>
    <t>nfl_staff</t>
  </si>
  <si>
    <t>nfl_doses</t>
  </si>
  <si>
    <t>nfl_uptake</t>
  </si>
  <si>
    <t>Staff Group</t>
  </si>
  <si>
    <t>trust_short</t>
  </si>
  <si>
    <t>Ethnicity</t>
  </si>
  <si>
    <t>Trust_Code</t>
  </si>
  <si>
    <t>Trust_Long</t>
  </si>
  <si>
    <t>Trust_Short</t>
  </si>
  <si>
    <t>RC9</t>
  </si>
  <si>
    <t>BEDFORDSHIRE HOSPITALS NHS FOUNDATION TRUST</t>
  </si>
  <si>
    <t>East of England</t>
  </si>
  <si>
    <t>Other</t>
  </si>
  <si>
    <t>RV3</t>
  </si>
  <si>
    <t>CENTRAL AND NORTH WEST LONDON NHS FOUNDATION TRUST</t>
  </si>
  <si>
    <t>NCL</t>
  </si>
  <si>
    <t>Estates and Ancillary</t>
  </si>
  <si>
    <t>G: Mixed - Any other mixed background</t>
  </si>
  <si>
    <t>RF4</t>
  </si>
  <si>
    <t>BARKING, HAVERING AND REDBRIDGE UNIVERSITY HOSPITALS NHS TRUST</t>
  </si>
  <si>
    <t>BHR</t>
  </si>
  <si>
    <t>RD8</t>
  </si>
  <si>
    <t>MILTON KEYNES UNIVERSITY HOSPITAL NHS FOUNDATION TRUST</t>
  </si>
  <si>
    <t>Students</t>
  </si>
  <si>
    <t>X: Unknown</t>
  </si>
  <si>
    <t>R1H</t>
  </si>
  <si>
    <t>BARTS HEALTH NHS TRUST</t>
  </si>
  <si>
    <t>Barts</t>
  </si>
  <si>
    <t>RGT</t>
  </si>
  <si>
    <t>CAMBRIDGE UNIVERSITY HOSPITALS NHS FOUNDATION TRUST</t>
  </si>
  <si>
    <t>Medical and Dental</t>
  </si>
  <si>
    <t>CNWL</t>
  </si>
  <si>
    <t>RT1</t>
  </si>
  <si>
    <t>CAMBRIDGESHIRE AND PETERBOROUGH NHS FOUNDATION TRUST</t>
  </si>
  <si>
    <t>Administrative and Clerical</t>
  </si>
  <si>
    <t>E: Mixed - White and Black African</t>
  </si>
  <si>
    <t>RYX</t>
  </si>
  <si>
    <t>CENTRAL LONDON COMMUNITY HEALTHCARE NHS TRUST</t>
  </si>
  <si>
    <t>CLCH</t>
  </si>
  <si>
    <t>RYV</t>
  </si>
  <si>
    <t>CAMBRIDGESHIRE COMMUNITY SERVICES NHS TRUST</t>
  </si>
  <si>
    <t>Nursing and Midwifery Registered</t>
  </si>
  <si>
    <t>C: White - Any other white background</t>
  </si>
  <si>
    <t>RQM</t>
  </si>
  <si>
    <t>CHELSEA AND WESTMINSTER HOSPITAL NHS FOUNDATION TRUST</t>
  </si>
  <si>
    <t>ChelWest</t>
  </si>
  <si>
    <t>RGN</t>
  </si>
  <si>
    <t>NORTH WEST ANGLIA NHS FOUNDATION TRUST</t>
  </si>
  <si>
    <t>Allied Health Professionals</t>
  </si>
  <si>
    <t>M: Black or Black British - Caribbean</t>
  </si>
  <si>
    <t>RJ6</t>
  </si>
  <si>
    <t>CROYDON HEALTH SERVICES NHS TRUST</t>
  </si>
  <si>
    <t>Croydon</t>
  </si>
  <si>
    <t>RGM</t>
  </si>
  <si>
    <t>ROYAL PAPWORTH HOSPITAL NHS FOUNDATION TRUST</t>
  </si>
  <si>
    <t>Add Prof Scientific and Technic</t>
  </si>
  <si>
    <t>A: White - British</t>
  </si>
  <si>
    <t>RWK</t>
  </si>
  <si>
    <t>EAST LONDON NHS FOUNDATION TRUST</t>
  </si>
  <si>
    <t>ELFT</t>
  </si>
  <si>
    <t>RWH</t>
  </si>
  <si>
    <t>EAST AND NORTH HERTFORDSHIRE TEACHING NHS TRUST</t>
  </si>
  <si>
    <t>Healthcare Scientists</t>
  </si>
  <si>
    <t>P: Black or Black British - Any other Black background</t>
  </si>
  <si>
    <t>RVR</t>
  </si>
  <si>
    <t>EPSOM AND ST HELIER UNIVERSITY HOSPITALS NHS TRUST</t>
  </si>
  <si>
    <t>Epsom</t>
  </si>
  <si>
    <t>RY4</t>
  </si>
  <si>
    <t>HERTFORDSHIRE COMMUNITY NHS TRUST</t>
  </si>
  <si>
    <t>Additional Clinical Services</t>
  </si>
  <si>
    <t>J: Asian or Asian British - Pakistani</t>
  </si>
  <si>
    <t>RP4</t>
  </si>
  <si>
    <t>GREAT ORMOND STREET HOSPITAL FOR CHILDREN NHS FOUNDATION TRUST</t>
  </si>
  <si>
    <t>GOSH</t>
  </si>
  <si>
    <t>RWR</t>
  </si>
  <si>
    <t>HERTFORDSHIRE PARTNERSHIP UNIVERSITY NHS FOUNDATION TRUST</t>
  </si>
  <si>
    <t>K: Asian or Asian British - Bangladeshi</t>
  </si>
  <si>
    <t>RJ1</t>
  </si>
  <si>
    <t>GUY'S AND ST THOMAS' NHS FOUNDATION TRUST</t>
  </si>
  <si>
    <t>GSTT</t>
  </si>
  <si>
    <t>RQW</t>
  </si>
  <si>
    <t>THE PRINCESS ALEXANDRA HOSPITAL NHS TRUST</t>
  </si>
  <si>
    <t>F: Mixed - White and Asian</t>
  </si>
  <si>
    <t>RQX</t>
  </si>
  <si>
    <t>HOMERTON HEALTHCARE NHS FOUNDATION TRUST</t>
  </si>
  <si>
    <t>Homerton</t>
  </si>
  <si>
    <t>RWG</t>
  </si>
  <si>
    <t>WEST HERTFORDSHIRE TEACHING HOSPITALS NHS TRUST</t>
  </si>
  <si>
    <t>N: Black or Black British - African</t>
  </si>
  <si>
    <t>RYJ</t>
  </si>
  <si>
    <t>IMPERIAL COLLEGE HEALTHCARE NHS TRUST</t>
  </si>
  <si>
    <t>Imperial</t>
  </si>
  <si>
    <t>R1L</t>
  </si>
  <si>
    <t>ESSEX PARTNERSHIP UNIVERSITY NHS FOUNDATION TRUST</t>
  </si>
  <si>
    <t>R: Other ethnic groups - Chinese</t>
  </si>
  <si>
    <t>RJZ</t>
  </si>
  <si>
    <t>KING'S COLLEGE HOSPITAL NHS FOUNDATION TRUST</t>
  </si>
  <si>
    <t>King's</t>
  </si>
  <si>
    <t>RAJ</t>
  </si>
  <si>
    <t>MID AND SOUTH ESSEX NHS FOUNDATION TRUST</t>
  </si>
  <si>
    <t>S: Other ethnic groups - Any other ethnic group</t>
  </si>
  <si>
    <t>RAX</t>
  </si>
  <si>
    <t>KINGSTON AND RICHMOND NHS FOUNDATION TRUST</t>
  </si>
  <si>
    <t>K&amp;R FT</t>
  </si>
  <si>
    <t>RGP</t>
  </si>
  <si>
    <t>JAMES PAGET UNIVERSITY HOSPITALS NHS FOUNDATION TRUST</t>
  </si>
  <si>
    <t>RJ2</t>
  </si>
  <si>
    <t>LEWISHAM AND GREENWICH NHS TRUST</t>
  </si>
  <si>
    <t>L&amp;G</t>
  </si>
  <si>
    <t>RM1</t>
  </si>
  <si>
    <t>NORFOLK AND NORWICH UNIVERSITY HOSPITALS NHS FOUNDATION TRUST</t>
  </si>
  <si>
    <t>H: Asian or Asian British - Indian</t>
  </si>
  <si>
    <t>RRU</t>
  </si>
  <si>
    <t>LONDON AMBULANCE SERVICE NHS TRUST</t>
  </si>
  <si>
    <t>LAS</t>
  </si>
  <si>
    <t>RMY</t>
  </si>
  <si>
    <t>NORFOLK AND SUFFOLK NHS FOUNDATION TRUST</t>
  </si>
  <si>
    <t>D: Mixed - White and Black Caribbean</t>
  </si>
  <si>
    <t>R1K</t>
  </si>
  <si>
    <t>LONDON NORTH WEST UNIVERSITY HEALTHCARE NHS TRUST</t>
  </si>
  <si>
    <t>LNW</t>
  </si>
  <si>
    <t>RY3</t>
  </si>
  <si>
    <t>NORFOLK COMMUNITY HEALTH AND CARE NHS TRUST</t>
  </si>
  <si>
    <t>B: White - Irish</t>
  </si>
  <si>
    <t>RP6</t>
  </si>
  <si>
    <t>MOORFIELDS EYE HOSPITAL NHS FOUNDATION TRUST</t>
  </si>
  <si>
    <t>Moorfields</t>
  </si>
  <si>
    <t>RCX</t>
  </si>
  <si>
    <t>THE QUEEN ELIZABETH HOSPITAL, KING'S LYNN, NHS FOUNDATION TRUST</t>
  </si>
  <si>
    <t>L: Asian or Asian British - Any other Asian background</t>
  </si>
  <si>
    <t>RAT</t>
  </si>
  <si>
    <t>NORTH EAST LONDON NHS FOUNDATION TRUST</t>
  </si>
  <si>
    <t>NELFT</t>
  </si>
  <si>
    <t>RYC</t>
  </si>
  <si>
    <t>EAST OF ENGLAND AMBULANCE SERVICE NHS TRUST</t>
  </si>
  <si>
    <t>G6V2S</t>
  </si>
  <si>
    <t>NORTH LONDON NHS FOUNDATION TRUST</t>
  </si>
  <si>
    <t>North London</t>
  </si>
  <si>
    <t>RDE</t>
  </si>
  <si>
    <t>EAST SUFFOLK AND NORTH ESSEX NHS FOUNDATION TRUST</t>
  </si>
  <si>
    <t>RPG</t>
  </si>
  <si>
    <t>OXLEAS NHS FOUNDATION TRUST</t>
  </si>
  <si>
    <t>Oxleas</t>
  </si>
  <si>
    <t>RGR</t>
  </si>
  <si>
    <t>WEST SUFFOLK NHS FOUNDATION TRUST</t>
  </si>
  <si>
    <t>RAL</t>
  </si>
  <si>
    <t>ROYAL FREE LONDON NHS FOUNDATION TRUST</t>
  </si>
  <si>
    <t>Royal Free</t>
  </si>
  <si>
    <t>London</t>
  </si>
  <si>
    <t>RAN</t>
  </si>
  <si>
    <t>ROYAL NATIONAL ORTHOPAEDIC HOSPITAL NHS TRUST</t>
  </si>
  <si>
    <t>RNOH</t>
  </si>
  <si>
    <t>RV5</t>
  </si>
  <si>
    <t>SOUTH LONDON AND MAUDSLEY NHS FOUNDATION TRUST</t>
  </si>
  <si>
    <t>SLAM</t>
  </si>
  <si>
    <t>RQY</t>
  </si>
  <si>
    <t>SOUTH WEST LONDON AND ST GEORGE'S MENTAL HEALTH NHS TRUST</t>
  </si>
  <si>
    <t>SWL&amp;StG</t>
  </si>
  <si>
    <t>RJ7</t>
  </si>
  <si>
    <t>ST GEORGE'S UNIVERSITY HOSPITALS NHS FOUNDATION TRUST</t>
  </si>
  <si>
    <t>St George's</t>
  </si>
  <si>
    <t>RNK</t>
  </si>
  <si>
    <t>TAVISTOCK AND PORTMAN NHS FOUNDATION TRUST</t>
  </si>
  <si>
    <t>T&amp;P</t>
  </si>
  <si>
    <t>RAS</t>
  </si>
  <si>
    <t>THE HILLINGDON HOSPITALS NHS FOUNDATION TRUST</t>
  </si>
  <si>
    <t>Hillingdon</t>
  </si>
  <si>
    <t>RPY</t>
  </si>
  <si>
    <t>THE ROYAL MARSDEN NHS FOUNDATION TRUST</t>
  </si>
  <si>
    <t>Marsden</t>
  </si>
  <si>
    <t>RRV</t>
  </si>
  <si>
    <t>UNIVERSITY COLLEGE LONDON HOSPITALS NHS FOUNDATION TRUST</t>
  </si>
  <si>
    <t>UCLH</t>
  </si>
  <si>
    <t>RKE</t>
  </si>
  <si>
    <t>WHITTINGTON HEALTH NHS TRUST</t>
  </si>
  <si>
    <t>RKL</t>
  </si>
  <si>
    <t>WEST LONDON NHS TRUST</t>
  </si>
  <si>
    <t>West London</t>
  </si>
  <si>
    <t>NEL</t>
  </si>
  <si>
    <t>Whittington</t>
  </si>
  <si>
    <t>NWL</t>
  </si>
  <si>
    <t>SEL</t>
  </si>
  <si>
    <t>SWL</t>
  </si>
  <si>
    <t>RYW</t>
  </si>
  <si>
    <t>BIRMINGHAM COMMUNITY HEALTHCARE NHS FOUNDATION TRUST</t>
  </si>
  <si>
    <t>Midlands</t>
  </si>
  <si>
    <t>RQ3</t>
  </si>
  <si>
    <t>BIRMINGHAM WOMEN'S AND CHILDREN'S NHS FOUNDATION TRUST</t>
  </si>
  <si>
    <t>RRJ</t>
  </si>
  <si>
    <t>THE ROYAL ORTHOPAEDIC HOSPITAL NHS FOUNDATION TRUST</t>
  </si>
  <si>
    <t>RRK</t>
  </si>
  <si>
    <t>UNIVERSITY HOSPITALS BIRMINGHAM NHS FOUNDATION TRUST</t>
  </si>
  <si>
    <t>RXT</t>
  </si>
  <si>
    <t>BIRMINGHAM AND SOLIHULL MENTAL HEALTH NHS FOUNDATION TRUST</t>
  </si>
  <si>
    <t>TAJ</t>
  </si>
  <si>
    <t>BLACK COUNTRY HEALTHCARE NHS FOUNDATION TRUST</t>
  </si>
  <si>
    <t>RXK</t>
  </si>
  <si>
    <t>SANDWELL AND WEST BIRMINGHAM HOSPITALS NHS TRUST</t>
  </si>
  <si>
    <t>RNA</t>
  </si>
  <si>
    <t>THE DUDLEY GROUP NHS FOUNDATION TRUST</t>
  </si>
  <si>
    <t>RL4</t>
  </si>
  <si>
    <t>THE ROYAL WOLVERHAMPTON NHS TRUST</t>
  </si>
  <si>
    <t>RBK</t>
  </si>
  <si>
    <t>WALSALL HEALTHCARE NHS TRUST</t>
  </si>
  <si>
    <t>RYA</t>
  </si>
  <si>
    <t>WEST MIDLANDS AMBULANCE SERVICE UNIVERSITY NHS FOUNDATION TRUST</t>
  </si>
  <si>
    <t>RYG</t>
  </si>
  <si>
    <t>COVENTRY AND WARWICKSHIRE PARTNERSHIP NHS TRUST</t>
  </si>
  <si>
    <t>RLT</t>
  </si>
  <si>
    <t>GEORGE ELIOT HOSPITAL NHS TRUST</t>
  </si>
  <si>
    <t>RJC</t>
  </si>
  <si>
    <t>SOUTH WARWICKSHIRE UNIVERSITY NHS FOUNDATION TRUST</t>
  </si>
  <si>
    <t>RKB</t>
  </si>
  <si>
    <t>UNIVERSITY HOSPITALS COVENTRY AND WARWICKSHIRE NHS TRUST</t>
  </si>
  <si>
    <t>RFS</t>
  </si>
  <si>
    <t>CHESTERFIELD ROYAL HOSPITAL NHS FOUNDATION TRUST</t>
  </si>
  <si>
    <t>RY8</t>
  </si>
  <si>
    <t>DERBYSHIRE COMMUNITY HEALTH SERVICES NHS FOUNDATION TRUST</t>
  </si>
  <si>
    <t>RXM</t>
  </si>
  <si>
    <t>DERBYSHIRE HEALTHCARE NHS FOUNDATION TRUST</t>
  </si>
  <si>
    <t>RX9</t>
  </si>
  <si>
    <t>EAST MIDLANDS AMBULANCE SERVICE NHS TRUST</t>
  </si>
  <si>
    <t>RTG</t>
  </si>
  <si>
    <t>UNIVERSITY HOSPITALS OF DERBY AND BURTON NHS FOUNDATION TRUST</t>
  </si>
  <si>
    <t>R1A</t>
  </si>
  <si>
    <t>HEREFORDSHIRE AND WORCESTERSHIRE HEALTH AND CARE NHS TRUST</t>
  </si>
  <si>
    <t>RWP</t>
  </si>
  <si>
    <t>WORCESTERSHIRE ACUTE HOSPITALS NHS TRUST</t>
  </si>
  <si>
    <t>RLQ</t>
  </si>
  <si>
    <t>WYE VALLEY NHS TRUST</t>
  </si>
  <si>
    <t>RT5</t>
  </si>
  <si>
    <t>LEICESTERSHIRE PARTNERSHIP NHS TRUST</t>
  </si>
  <si>
    <t>RWE</t>
  </si>
  <si>
    <t>UNIVERSITY HOSPITALS OF LEICESTER NHS TRUST</t>
  </si>
  <si>
    <t>RY5</t>
  </si>
  <si>
    <t>LINCOLNSHIRE COMMUNITY HEALTH SERVICES NHS TRUST</t>
  </si>
  <si>
    <t>RP7</t>
  </si>
  <si>
    <t>LINCOLNSHIRE PARTNERSHIP NHS FOUNDATION TRUST</t>
  </si>
  <si>
    <t>RWD</t>
  </si>
  <si>
    <t>UNITED LINCOLNSHIRE HOSPITALS NHS TRUST</t>
  </si>
  <si>
    <t>RNQ</t>
  </si>
  <si>
    <t>KETTERING GENERAL HOSPITAL NHS FOUNDATION TRUST</t>
  </si>
  <si>
    <t>RNS</t>
  </si>
  <si>
    <t>NORTHAMPTON GENERAL HOSPITAL NHS TRUST</t>
  </si>
  <si>
    <t>RP1</t>
  </si>
  <si>
    <t>NORTHAMPTONSHIRE HEALTHCARE NHS FOUNDATION TRUST</t>
  </si>
  <si>
    <t>RX1</t>
  </si>
  <si>
    <t>NOTTINGHAM UNIVERSITY HOSPITALS NHS TRUST</t>
  </si>
  <si>
    <t>RHA</t>
  </si>
  <si>
    <t>NOTTINGHAMSHIRE HEALTHCARE NHS FOUNDATION TRUST</t>
  </si>
  <si>
    <t>RK5</t>
  </si>
  <si>
    <t>SHERWOOD FOREST HOSPITALS NHS FOUNDATION TRUST</t>
  </si>
  <si>
    <t>R1D</t>
  </si>
  <si>
    <t>SHROPSHIRE COMMUNITY HEALTH NHS TRUST</t>
  </si>
  <si>
    <t>RL1</t>
  </si>
  <si>
    <t>THE ROBERT JONES AND AGNES HUNT ORTHOPAEDIC HOSPITAL NHS FOUNDATION TRUST</t>
  </si>
  <si>
    <t>RXW</t>
  </si>
  <si>
    <t>THE SHREWSBURY AND TELFORD HOSPITAL NHS TRUST</t>
  </si>
  <si>
    <t>RRE</t>
  </si>
  <si>
    <t>MIDLANDS PARTNERSHIP UNIVERSITY NHS FOUNDATION TRUST</t>
  </si>
  <si>
    <t>RLY</t>
  </si>
  <si>
    <t>NORTH STAFFORDSHIRE COMBINED HEALTHCARE NHS TRUST</t>
  </si>
  <si>
    <t>RJE</t>
  </si>
  <si>
    <t>UNIVERSITY HOSPITALS OF NORTH MIDLANDS NHS TRUST</t>
  </si>
  <si>
    <t>RCD</t>
  </si>
  <si>
    <t>HARROGATE AND DISTRICT NHS FOUNDATION TRUST</t>
  </si>
  <si>
    <t>North East and Yorkshire</t>
  </si>
  <si>
    <t>RWA</t>
  </si>
  <si>
    <t>HULL UNIVERSITY TEACHING HOSPITALS NHS TRUST</t>
  </si>
  <si>
    <t>RV9</t>
  </si>
  <si>
    <t>HUMBER TEACHING NHS FOUNDATION TRUST</t>
  </si>
  <si>
    <t>RJL</t>
  </si>
  <si>
    <t>NORTHERN LINCOLNSHIRE AND GOOLE NHS FOUNDATION TRUST</t>
  </si>
  <si>
    <t>RCB</t>
  </si>
  <si>
    <t>YORK AND SCARBOROUGH TEACHING HOSPITALS NHS FOUNDATION TRUST</t>
  </si>
  <si>
    <t>RXP</t>
  </si>
  <si>
    <t>COUNTY DURHAM AND DARLINGTON NHS FOUNDATION TRUST</t>
  </si>
  <si>
    <t>RX4</t>
  </si>
  <si>
    <t>CUMBRIA, NORTHUMBERLAND, TYNE AND WEAR NHS FOUNDATION TRUST</t>
  </si>
  <si>
    <t>RR7</t>
  </si>
  <si>
    <t>GATESHEAD HEALTH NHS FOUNDATION TRUST</t>
  </si>
  <si>
    <t>RNN</t>
  </si>
  <si>
    <t>NORTH CUMBRIA INTEGRATED CARE NHS FOUNDATION TRUST</t>
  </si>
  <si>
    <t>RX6</t>
  </si>
  <si>
    <t>NORTH EAST AMBULANCE SERVICE NHS FOUNDATION TRUST</t>
  </si>
  <si>
    <t>RVW</t>
  </si>
  <si>
    <t>NORTH TEES AND HARTLEPOOL NHS FOUNDATION TRUST</t>
  </si>
  <si>
    <t>RTF</t>
  </si>
  <si>
    <t>NORTHUMBRIA HEALTHCARE NHS FOUNDATION TRUST</t>
  </si>
  <si>
    <t>RTR</t>
  </si>
  <si>
    <t>SOUTH TEES HOSPITALS NHS FOUNDATION TRUST</t>
  </si>
  <si>
    <t>R0B</t>
  </si>
  <si>
    <t>SOUTH TYNESIDE AND SUNDERLAND NHS FOUNDATION TRUST</t>
  </si>
  <si>
    <t>RX3</t>
  </si>
  <si>
    <t>TEES, ESK AND WEAR VALLEYS NHS FOUNDATION TRUST</t>
  </si>
  <si>
    <t>RTD</t>
  </si>
  <si>
    <t>THE NEWCASTLE UPON TYNE HOSPITALS NHS FOUNDATION TRUST</t>
  </si>
  <si>
    <t>RFF</t>
  </si>
  <si>
    <t>BARNSLEY HOSPITAL NHS FOUNDATION TRUST</t>
  </si>
  <si>
    <t>RP5</t>
  </si>
  <si>
    <t>DONCASTER AND BASSETLAW TEACHING HOSPITALS NHS FOUNDATION TRUST</t>
  </si>
  <si>
    <t>RXE</t>
  </si>
  <si>
    <t>ROTHERHAM DONCASTER AND SOUTH HUMBER NHS FOUNDATION TRUST</t>
  </si>
  <si>
    <t>RCU</t>
  </si>
  <si>
    <t>SHEFFIELD CHILDREN'S NHS FOUNDATION TRUST</t>
  </si>
  <si>
    <t>TAH</t>
  </si>
  <si>
    <t>SHEFFIELD HEALTH PARTNERSHIP UNIVERSITY NHS FOUNDATION TRUST</t>
  </si>
  <si>
    <t>RHQ</t>
  </si>
  <si>
    <t>SHEFFIELD TEACHING HOSPITALS NHS FOUNDATION TRUST</t>
  </si>
  <si>
    <t>RFR</t>
  </si>
  <si>
    <t>THE ROTHERHAM NHS FOUNDATION TRUST</t>
  </si>
  <si>
    <t>RCF</t>
  </si>
  <si>
    <t>AIREDALE NHS FOUNDATION TRUST</t>
  </si>
  <si>
    <t>TAD</t>
  </si>
  <si>
    <t>BRADFORD DISTRICT CARE NHS FOUNDATION TRUST</t>
  </si>
  <si>
    <t>RAE</t>
  </si>
  <si>
    <t>BRADFORD TEACHING HOSPITALS NHS FOUNDATION TRUST</t>
  </si>
  <si>
    <t>RWY</t>
  </si>
  <si>
    <t>CALDERDALE AND HUDDERSFIELD NHS FOUNDATION TRUST</t>
  </si>
  <si>
    <t>RGD</t>
  </si>
  <si>
    <t>LEEDS AND YORK PARTNERSHIP NHS FOUNDATION TRUST</t>
  </si>
  <si>
    <t>RY6</t>
  </si>
  <si>
    <t>LEEDS COMMUNITY HEALTHCARE NHS TRUST</t>
  </si>
  <si>
    <t>RR8</t>
  </si>
  <si>
    <t>LEEDS TEACHING HOSPITALS NHS TRUST</t>
  </si>
  <si>
    <t>RXF</t>
  </si>
  <si>
    <t>MID YORKSHIRE TEACHING NHS TRUST</t>
  </si>
  <si>
    <t>RXG</t>
  </si>
  <si>
    <t>SOUTH WEST YORKSHIRE PARTNERSHIP NHS FOUNDATION TRUST</t>
  </si>
  <si>
    <t>RX8</t>
  </si>
  <si>
    <t>YORKSHIRE AMBULANCE SERVICE NHS TRUST</t>
  </si>
  <si>
    <t>RBS</t>
  </si>
  <si>
    <t>ALDER HEY CHILDREN'S NHS FOUNDATION TRUST</t>
  </si>
  <si>
    <t>North West</t>
  </si>
  <si>
    <t>RY2</t>
  </si>
  <si>
    <t>BRIDGEWATER COMMUNITY HEALTHCARE NHS FOUNDATION TRUST</t>
  </si>
  <si>
    <t>RXA</t>
  </si>
  <si>
    <t>CHESHIRE AND WIRRAL PARTNERSHIP NHS FOUNDATION TRUST</t>
  </si>
  <si>
    <t>RJR</t>
  </si>
  <si>
    <t>COUNTESS OF CHESTER HOSPITAL NHS FOUNDATION TRUST</t>
  </si>
  <si>
    <t>RJN</t>
  </si>
  <si>
    <t>EAST CHESHIRE NHS TRUST</t>
  </si>
  <si>
    <t>RBQ</t>
  </si>
  <si>
    <t>LIVERPOOL HEART AND CHEST HOSPITAL NHS FOUNDATION TRUST</t>
  </si>
  <si>
    <t>REM</t>
  </si>
  <si>
    <t>LIVERPOOL UNIVERSITY HOSPITALS NHS FOUNDATION TRUST</t>
  </si>
  <si>
    <t>REP</t>
  </si>
  <si>
    <t>LIVERPOOL WOMEN'S NHS FOUNDATION TRUST</t>
  </si>
  <si>
    <t>RBN</t>
  </si>
  <si>
    <t>MERSEY AND WEST LANCASHIRE TEACHING HOSPITALS NHS TRUST</t>
  </si>
  <si>
    <t>RW4</t>
  </si>
  <si>
    <t>MERSEY CARE NHS FOUNDATION TRUST</t>
  </si>
  <si>
    <t>RBT</t>
  </si>
  <si>
    <t>MID CHESHIRE HOSPITALS NHS FOUNDATION TRUST</t>
  </si>
  <si>
    <t>REN</t>
  </si>
  <si>
    <t>THE CLATTERBRIDGE CANCER CENTRE NHS FOUNDATION TRUST</t>
  </si>
  <si>
    <t>RET</t>
  </si>
  <si>
    <t>THE WALTON CENTRE NHS FOUNDATION TRUST</t>
  </si>
  <si>
    <t>RWW</t>
  </si>
  <si>
    <t>WARRINGTON AND HALTON TEACHING HOSPITALS NHS FOUNDATION TRUST</t>
  </si>
  <si>
    <t>RY7</t>
  </si>
  <si>
    <t>WIRRAL COMMUNITY HEALTH AND CARE NHS FOUNDATION TRUST</t>
  </si>
  <si>
    <t>RBL</t>
  </si>
  <si>
    <t>WIRRAL UNIVERSITY TEACHING HOSPITAL NHS FOUNDATION TRUST</t>
  </si>
  <si>
    <t>RMC</t>
  </si>
  <si>
    <t>BOLTON NHS FOUNDATION TRUST</t>
  </si>
  <si>
    <t>RXV</t>
  </si>
  <si>
    <t>GREATER MANCHESTER MENTAL HEALTH NHS FOUNDATION TRUST</t>
  </si>
  <si>
    <t>R0A</t>
  </si>
  <si>
    <t>MANCHESTER UNIVERSITY NHS FOUNDATION TRUST</t>
  </si>
  <si>
    <t>RX7</t>
  </si>
  <si>
    <t>NORTH WEST AMBULANCE SERVICE NHS TRUST</t>
  </si>
  <si>
    <t>RM3</t>
  </si>
  <si>
    <t>NORTHERN CARE ALLIANCE NHS FOUNDATION TRUST</t>
  </si>
  <si>
    <t>RT2</t>
  </si>
  <si>
    <t>PENNINE CARE NHS FOUNDATION TRUST</t>
  </si>
  <si>
    <t>RWJ</t>
  </si>
  <si>
    <t>STOCKPORT NHS FOUNDATION TRUST</t>
  </si>
  <si>
    <t>RMP</t>
  </si>
  <si>
    <t>TAMESIDE AND GLOSSOP INTEGRATED CARE NHS FOUNDATION TRUST</t>
  </si>
  <si>
    <t>RBV</t>
  </si>
  <si>
    <t>THE CHRISTIE NHS FOUNDATION TRUST</t>
  </si>
  <si>
    <t>RRF</t>
  </si>
  <si>
    <t>RXL</t>
  </si>
  <si>
    <t>BLACKPOOL TEACHING HOSPITALS NHS FOUNDATION TRUST</t>
  </si>
  <si>
    <t>RXR</t>
  </si>
  <si>
    <t>EAST LANCASHIRE HOSPITALS NHS TRUST</t>
  </si>
  <si>
    <t>RW5</t>
  </si>
  <si>
    <t>LANCASHIRE &amp; SOUTH CUMBRIA NHS FOUNDATION TRUST</t>
  </si>
  <si>
    <t>RXN</t>
  </si>
  <si>
    <t>LANCASHIRE TEACHING HOSPITALS NHS FOUNDATION TRUST</t>
  </si>
  <si>
    <t>RTX</t>
  </si>
  <si>
    <t>UNIVERSITY HOSPITALS OF MORECAMBE BAY NHS FOUNDATION TRUST</t>
  </si>
  <si>
    <t>RWX</t>
  </si>
  <si>
    <t>BERKSHIRE HEALTHCARE NHS FOUNDATION TRUST</t>
  </si>
  <si>
    <t>South East</t>
  </si>
  <si>
    <t>RXQ</t>
  </si>
  <si>
    <t>BUCKINGHAMSHIRE HEALTHCARE NHS TRUST</t>
  </si>
  <si>
    <t>RNU</t>
  </si>
  <si>
    <t>OXFORD HEALTH NHS FOUNDATION TRUST</t>
  </si>
  <si>
    <t>RTH</t>
  </si>
  <si>
    <t>OXFORD UNIVERSITY HOSPITALS NHS FOUNDATION TRUST</t>
  </si>
  <si>
    <t>RHW</t>
  </si>
  <si>
    <t>ROYAL BERKSHIRE NHS FOUNDATION TRUST</t>
  </si>
  <si>
    <t>RYE</t>
  </si>
  <si>
    <t>SOUTH CENTRAL AMBULANCE SERVICE NHS FOUNDATION TRUST</t>
  </si>
  <si>
    <t>RDU</t>
  </si>
  <si>
    <t>FRIMLEY HEALTH NHS FOUNDATION TRUST</t>
  </si>
  <si>
    <t>RW1</t>
  </si>
  <si>
    <t>HAMPSHIRE AND ISLE OF WIGHT HEALTHCARE NHS FOUNDATION TRUST</t>
  </si>
  <si>
    <t>RN5</t>
  </si>
  <si>
    <t>HAMPSHIRE HOSPITALS NHS FOUNDATION TRUST</t>
  </si>
  <si>
    <t>R1F</t>
  </si>
  <si>
    <t>ISLE OF WIGHT NHS TRUST</t>
  </si>
  <si>
    <t>RHU</t>
  </si>
  <si>
    <t>PORTSMOUTH HOSPITALS UNIVERSITY NHS TRUST</t>
  </si>
  <si>
    <t>RHM</t>
  </si>
  <si>
    <t>UNIVERSITY HOSPITAL SOUTHAMPTON NHS FOUNDATION TRUST</t>
  </si>
  <si>
    <t>RN7</t>
  </si>
  <si>
    <t>DARTFORD AND GRAVESHAM NHS TRUST</t>
  </si>
  <si>
    <t>RVV</t>
  </si>
  <si>
    <t>EAST KENT HOSPITALS UNIVERSITY NHS FOUNDATION TRUST</t>
  </si>
  <si>
    <t>RXY</t>
  </si>
  <si>
    <t>KENT AND MEDWAY MENTAL HEALTH NHS TRUST</t>
  </si>
  <si>
    <t>RYY</t>
  </si>
  <si>
    <t>KENT COMMUNITY HEALTH NHS FOUNDATION TRUST</t>
  </si>
  <si>
    <t>RWF</t>
  </si>
  <si>
    <t>MAIDSTONE AND TUNBRIDGE WELLS NHS TRUST</t>
  </si>
  <si>
    <t>RPA</t>
  </si>
  <si>
    <t>MEDWAY NHS FOUNDATION TRUST</t>
  </si>
  <si>
    <t>RTK</t>
  </si>
  <si>
    <t>ASHFORD AND ST PETER'S HOSPITALS NHS FOUNDATION TRUST</t>
  </si>
  <si>
    <t>RA2</t>
  </si>
  <si>
    <t>ROYAL SURREY NHS FOUNDATION TRUST</t>
  </si>
  <si>
    <t>RYD</t>
  </si>
  <si>
    <t>SOUTH EAST COAST AMBULANCE SERVICE NHS FOUNDATION TRUST</t>
  </si>
  <si>
    <t>RXX</t>
  </si>
  <si>
    <t>SURREY AND BORDERS PARTNERSHIP NHS FOUNDATION TRUST</t>
  </si>
  <si>
    <t>RTP</t>
  </si>
  <si>
    <t>SURREY AND SUSSEX HEALTHCARE NHS TRUST</t>
  </si>
  <si>
    <t>RXC</t>
  </si>
  <si>
    <t>EAST SUSSEX HEALTHCARE NHS TRUST</t>
  </si>
  <si>
    <t>RPC</t>
  </si>
  <si>
    <t>QUEEN VICTORIA HOSPITAL NHS FOUNDATION TRUST</t>
  </si>
  <si>
    <t>RDR</t>
  </si>
  <si>
    <t>SUSSEX COMMUNITY NHS FOUNDATION TRUST</t>
  </si>
  <si>
    <t>RX2</t>
  </si>
  <si>
    <t>SUSSEX PARTNERSHIP NHS FOUNDATION TRUST</t>
  </si>
  <si>
    <t>RYR</t>
  </si>
  <si>
    <t>UNIVERSITY HOSPITALS SUSSEX NHS FOUNDATION TRUST</t>
  </si>
  <si>
    <t>RN3</t>
  </si>
  <si>
    <t>GREAT WESTERN HOSPITALS NHS FOUNDATION TRUST</t>
  </si>
  <si>
    <t>South West</t>
  </si>
  <si>
    <t>RD1</t>
  </si>
  <si>
    <t>ROYAL UNITED HOSPITALS BATH NHS FOUNDATION TRUST</t>
  </si>
  <si>
    <t>RNZ</t>
  </si>
  <si>
    <t>SALISBURY NHS FOUNDATION TRUST</t>
  </si>
  <si>
    <t>RVN</t>
  </si>
  <si>
    <t>AVON AND WILTSHIRE MENTAL HEALTH PARTNERSHIP NHS TRUST</t>
  </si>
  <si>
    <t>RVJ</t>
  </si>
  <si>
    <t>NORTH BRISTOL NHS TRUST</t>
  </si>
  <si>
    <t>RA7</t>
  </si>
  <si>
    <t>UNIVERSITY HOSPITALS BRISTOL AND WESTON NHS FOUNDATION TRUST</t>
  </si>
  <si>
    <t>RJ8</t>
  </si>
  <si>
    <t>CORNWALL PARTNERSHIP NHS FOUNDATION TRUST</t>
  </si>
  <si>
    <t>REF</t>
  </si>
  <si>
    <t>ROYAL CORNWALL HOSPITALS NHS TRUST</t>
  </si>
  <si>
    <t>RWV</t>
  </si>
  <si>
    <t>DEVON PARTNERSHIP NHS TRUST</t>
  </si>
  <si>
    <t>RH8</t>
  </si>
  <si>
    <t>ROYAL DEVON UNIVERSITY HEALTHCARE NHS FOUNDATION TRUST</t>
  </si>
  <si>
    <t>RA9</t>
  </si>
  <si>
    <t>TORBAY AND SOUTH DEVON NHS FOUNDATION TRUST</t>
  </si>
  <si>
    <t>RK9</t>
  </si>
  <si>
    <t>UNIVERSITY HOSPITALS PLYMOUTH NHS TRUST</t>
  </si>
  <si>
    <t>RBD</t>
  </si>
  <si>
    <t>DORSET COUNTY HOSPITAL NHS FOUNDATION TRUST</t>
  </si>
  <si>
    <t>RDY</t>
  </si>
  <si>
    <t>DORSET HEALTHCARE UNIVERSITY NHS FOUNDATION TRUST</t>
  </si>
  <si>
    <t>RYF</t>
  </si>
  <si>
    <t>SOUTH WESTERN AMBULANCE SERVICE NHS FOUNDATION TRUST</t>
  </si>
  <si>
    <t>R0D</t>
  </si>
  <si>
    <t>UNIVERSITY HOSPITALS DORSET NHS FOUNDATION TRUST</t>
  </si>
  <si>
    <t>RTQ</t>
  </si>
  <si>
    <t>GLOUCESTERSHIRE HEALTH AND CARE NHS FOUNDATION TRUST</t>
  </si>
  <si>
    <t>RTE</t>
  </si>
  <si>
    <t>GLOUCESTERSHIRE HOSPITALS NHS FOUNDATION TRUST</t>
  </si>
  <si>
    <t>RH5</t>
  </si>
  <si>
    <t>SOMERSET NHS FOUNDATION TRUST</t>
  </si>
  <si>
    <t>staff_group tab</t>
  </si>
  <si>
    <t>aw24_weekly tab</t>
  </si>
  <si>
    <t>aw25_weekly tab</t>
  </si>
  <si>
    <t>aw25_deliverymodel tab</t>
  </si>
  <si>
    <t>season</t>
  </si>
  <si>
    <t>staff_group</t>
  </si>
  <si>
    <t>flhcw</t>
  </si>
  <si>
    <t>vve</t>
  </si>
  <si>
    <t>week</t>
  </si>
  <si>
    <t>iso_week</t>
  </si>
  <si>
    <t>trust</t>
  </si>
  <si>
    <t>aw24_vve</t>
  </si>
  <si>
    <t>cumulative_aw24_vve</t>
  </si>
  <si>
    <t>uptake</t>
  </si>
  <si>
    <t>aw25_vve</t>
  </si>
  <si>
    <t>cumulative_aw25_vve</t>
  </si>
  <si>
    <t>location</t>
  </si>
  <si>
    <t>2025-2026</t>
  </si>
  <si>
    <t>2024-2025</t>
  </si>
  <si>
    <t>GP</t>
  </si>
  <si>
    <t>NHS Trust</t>
  </si>
  <si>
    <t>Pharmacy</t>
  </si>
  <si>
    <t>Private Hospital</t>
  </si>
  <si>
    <t>Unknown</t>
  </si>
  <si>
    <t>Updated:</t>
  </si>
  <si>
    <t>Report Contents</t>
  </si>
  <si>
    <t>YoY Summary</t>
  </si>
  <si>
    <t xml:space="preserve">Measures flu uptake in frontline staff, broken down by region, London ICB and London Trust including 5% ambition and YoY comparison. </t>
  </si>
  <si>
    <t>YoY FL Charts</t>
  </si>
  <si>
    <t>Measures flu uptake in frontline staff comparing seasonal weeky uptake at region, London ICB and selected Trust</t>
  </si>
  <si>
    <t>FL Staff_Detail</t>
  </si>
  <si>
    <t>Measures flu uptake in frontline staff, broken down by staff group and ethnicity.</t>
  </si>
  <si>
    <t>FL Location</t>
  </si>
  <si>
    <t>Tables showing frontline staff vaccinations split by location type</t>
  </si>
  <si>
    <t>FL Pivots</t>
  </si>
  <si>
    <t xml:space="preserve">Tables for frontline staff measuring uptake at a Trust level with option to filter based on staff group and ethnicity. </t>
  </si>
  <si>
    <t>Frontline Staff Uptake</t>
  </si>
  <si>
    <t>Region</t>
  </si>
  <si>
    <t>Staff</t>
  </si>
  <si>
    <t>Vaccinated</t>
  </si>
  <si>
    <t>Uptake</t>
  </si>
  <si>
    <t>Remaining</t>
  </si>
  <si>
    <t>England</t>
  </si>
  <si>
    <t>ICB</t>
  </si>
  <si>
    <t>Ordered by Uptake (Highest to Lowest)</t>
  </si>
  <si>
    <t>Ordered Alphabetically (A-Z)</t>
  </si>
  <si>
    <t>Frontline_Staff</t>
  </si>
  <si>
    <t>Uptake_Target</t>
  </si>
  <si>
    <t>Trust</t>
  </si>
  <si>
    <t>5% Ambition Target Uptake</t>
  </si>
  <si>
    <t>Doses To Meet Ambition</t>
  </si>
  <si>
    <t>ISO Week</t>
  </si>
  <si>
    <t>AW25 W/C Date</t>
  </si>
  <si>
    <t>AW25 W/E Date</t>
  </si>
  <si>
    <t>AW25 FL Staff</t>
  </si>
  <si>
    <t>AW25 FL Vaccinated</t>
  </si>
  <si>
    <t>AW25 FL Uptake</t>
  </si>
  <si>
    <t>AW25 FL Remaining</t>
  </si>
  <si>
    <t>AW24 FL Uptake</t>
  </si>
  <si>
    <t>AW25 FL Difference</t>
  </si>
  <si>
    <t>AW25 Non FL Staff</t>
  </si>
  <si>
    <t>AW25 Non FL Vaccinated</t>
  </si>
  <si>
    <t>AW25 Non FL Uptake</t>
  </si>
  <si>
    <t>Key</t>
  </si>
  <si>
    <t>=</t>
  </si>
  <si>
    <t>Uptake above AW24 and on track to me +5% ambition</t>
  </si>
  <si>
    <t>Uptake above AW24 but not on track to me +5% ambition</t>
  </si>
  <si>
    <t>Uptake below AW24</t>
  </si>
  <si>
    <t>Week Reference</t>
  </si>
  <si>
    <t>AW25_Vaccinated</t>
  </si>
  <si>
    <t>AW25_Uptake</t>
  </si>
  <si>
    <t>AW24_Vaccinated</t>
  </si>
  <si>
    <t>AW24_Uptake</t>
  </si>
  <si>
    <t>Non_Frontline_Staff</t>
  </si>
  <si>
    <t>Non_Frontline_Vaccinated</t>
  </si>
  <si>
    <t>Non_frontline_Uptake</t>
  </si>
  <si>
    <t>5% Ambition Target FL Uptake</t>
  </si>
  <si>
    <t>AW25 W/C</t>
  </si>
  <si>
    <t>AW25 W/E</t>
  </si>
  <si>
    <t>&lt;Select Trust&gt;</t>
  </si>
  <si>
    <t>LDN AW24</t>
  </si>
  <si>
    <t>LDN AW 25</t>
  </si>
  <si>
    <t>NCL AW24</t>
  </si>
  <si>
    <t>NCL AW 25</t>
  </si>
  <si>
    <t>NEL AW24</t>
  </si>
  <si>
    <t>NEL AW 25</t>
  </si>
  <si>
    <t>NWL AW24</t>
  </si>
  <si>
    <t>NWL AW 25</t>
  </si>
  <si>
    <t>SEL AW24</t>
  </si>
  <si>
    <t>SEL AW 25</t>
  </si>
  <si>
    <t>SWL AW24</t>
  </si>
  <si>
    <t>SWL AW 25</t>
  </si>
  <si>
    <t>Frontline Staff Vaccinations by Location Type</t>
  </si>
  <si>
    <t>% NHS Trust</t>
  </si>
  <si>
    <t>% GP</t>
  </si>
  <si>
    <t>% Pharmacy</t>
  </si>
  <si>
    <t>% Private Hospital</t>
  </si>
  <si>
    <t>% Unknown</t>
  </si>
  <si>
    <t># NHS Trust</t>
  </si>
  <si>
    <t># GP</t>
  </si>
  <si>
    <t># Pharmacy</t>
  </si>
  <si>
    <t># Private Hospital</t>
  </si>
  <si>
    <t># Unknown</t>
  </si>
  <si>
    <t>Ordered by % Vaccinations by NHS Trust (Highest to Lowest)</t>
  </si>
  <si>
    <t>AW25_Doses</t>
  </si>
  <si>
    <t>Frontline Staff</t>
  </si>
  <si>
    <t>C: White - Any other White background</t>
  </si>
  <si>
    <t>G: Mixed - Any other Mixed background</t>
  </si>
  <si>
    <t>(All)</t>
  </si>
  <si>
    <t>Doses</t>
  </si>
  <si>
    <t>Grand Total</t>
  </si>
  <si>
    <t>Week</t>
  </si>
  <si>
    <t>Frontline Staff Vaccinations by Week</t>
  </si>
  <si>
    <t>All Trusts</t>
  </si>
  <si>
    <t>Selected Trust</t>
  </si>
  <si>
    <t>YoY FL Weekly</t>
  </si>
  <si>
    <t>Measures flu uptake in frontline staff comparing seasonal weeky uptake at region and selected Trust</t>
  </si>
  <si>
    <t>WRIGHTINGTON, WIGAN AND LEIGH TEACHING HOSPITALS NHS FOUNDATION TRUST</t>
  </si>
  <si>
    <t>ethnicity</t>
  </si>
  <si>
    <t>Acute</t>
  </si>
  <si>
    <t>Mental Health &amp; Community</t>
  </si>
  <si>
    <t>Community</t>
  </si>
  <si>
    <t>Acute &amp; Community</t>
  </si>
  <si>
    <t>Ambulance</t>
  </si>
  <si>
    <t>Mental Health</t>
  </si>
  <si>
    <t>Trust_Type</t>
  </si>
  <si>
    <t>Specialist</t>
  </si>
  <si>
    <t>Frontline Staff Uptake - Acute Trusts</t>
  </si>
  <si>
    <t>Frontline Staff Uptake - Mental Health and Community Trusts (includes Acute and Community Trusts)</t>
  </si>
  <si>
    <t>Frontline Staff Uptake - Specialist Trusts (inlcuding LAS)</t>
  </si>
  <si>
    <t>trust_type</t>
  </si>
  <si>
    <t>YoY Acute Summary</t>
  </si>
  <si>
    <t>YoY MH+CH Summary</t>
  </si>
  <si>
    <t>YoY Specialist Summary</t>
  </si>
  <si>
    <t>FL Staff Detail  Acute</t>
  </si>
  <si>
    <t>FL Staff Detail MH+CH</t>
  </si>
  <si>
    <t>FL Staff Detail Specialist</t>
  </si>
  <si>
    <t xml:space="preserve">                       </t>
  </si>
  <si>
    <t>AW25 Max Week</t>
  </si>
  <si>
    <t>AW25 ISO</t>
  </si>
  <si>
    <t>Max Reported Week</t>
  </si>
  <si>
    <t>Uptake Gap to 60%</t>
  </si>
  <si>
    <t>Additional Doses to Meet 60%</t>
  </si>
  <si>
    <t>Frontline Staff Uptake - All Trusts</t>
  </si>
  <si>
    <t>Frontline Staff Uptake - Selected Trust</t>
  </si>
  <si>
    <t>Select Trust</t>
  </si>
  <si>
    <t>&lt;Please Select&gt;</t>
  </si>
  <si>
    <t>age</t>
  </si>
  <si>
    <t>age_group</t>
  </si>
  <si>
    <t>18-25</t>
  </si>
  <si>
    <t>26-30</t>
  </si>
  <si>
    <t>31-35</t>
  </si>
  <si>
    <t>36-40</t>
  </si>
  <si>
    <t>41-45</t>
  </si>
  <si>
    <t>46-50</t>
  </si>
  <si>
    <t>51-55</t>
  </si>
  <si>
    <t>56-60</t>
  </si>
  <si>
    <t>61-65</t>
  </si>
  <si>
    <t>Over 65</t>
  </si>
  <si>
    <t>Age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</si>
</sst>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_-* #,##0_-;\-* #,##0_-;_-* &quot;-&quot;??_-;_-@_-"/>
    <numFmt numFmtId="166" formatCode="dd/mm/yyyy;@"/>
  </numFmts>
  <fonts count="15" x14ac:knownFonts="1">
    <font>
      <sz val="11"/>
      <color theme="1"/>
      <name val="Calibri"/>
      <family val="2"/>
      <scheme val="minor"/>
    </font>
    <font>
      <sz val="11"/>
      <color theme="1"/>
      <name val="Calibri"/>
      <family val="2"/>
      <scheme val="minor"/>
    </font>
    <font>
      <sz val="8"/>
      <name val="Calibri"/>
      <family val="2"/>
      <scheme val="minor"/>
    </font>
    <font>
      <u/>
      <sz val="11"/>
      <color theme="10"/>
      <name val="Calibri"/>
      <family val="2"/>
      <scheme val="minor"/>
    </font>
    <font>
      <sz val="11"/>
      <color theme="1"/>
      <name val="Aptos Narrow"/>
      <family val="2"/>
    </font>
    <font>
      <b/>
      <sz val="11"/>
      <color rgb="FFFF0000"/>
      <name val="Aptos Narrow"/>
      <family val="2"/>
    </font>
    <font>
      <sz val="11"/>
      <name val="Aptos Narrow"/>
      <family val="2"/>
    </font>
    <font>
      <b/>
      <sz val="11"/>
      <color theme="0"/>
      <name val="Aptos Narrow"/>
      <family val="2"/>
    </font>
    <font>
      <b/>
      <sz val="11"/>
      <color theme="1"/>
      <name val="Aptos Narrow"/>
      <family val="2"/>
    </font>
    <font>
      <b/>
      <sz val="20"/>
      <color rgb="FFFF0000"/>
      <name val="Aptos Narrow"/>
      <family val="2"/>
    </font>
    <font>
      <b/>
      <sz val="16"/>
      <color theme="1"/>
      <name val="Aptos Narrow"/>
      <family val="2"/>
    </font>
    <font>
      <sz val="11"/>
      <color theme="1"/>
      <name val="Aptos Narrow"/>
      <family val="2"/>
    </font>
    <font>
      <b/>
      <sz val="11"/>
      <name val="Aptos Narrow"/>
      <family val="2"/>
    </font>
    <font>
      <i/>
      <sz val="11"/>
      <color rgb="FFFF0000"/>
      <name val="Aptos Narrow"/>
      <family val="2"/>
    </font>
    <font>
      <sz val="11"/>
      <color theme="1"/>
      <name val="Aptos Narrow"/>
    </font>
  </fonts>
  <fills count="13">
    <fill>
      <patternFill patternType="none"/>
    </fill>
    <fill>
      <patternFill patternType="gray125"/>
    </fill>
    <fill>
      <patternFill patternType="solid">
        <fgColor theme="3"/>
        <bgColor indexed="64"/>
      </patternFill>
    </fill>
    <fill>
      <patternFill patternType="solid">
        <fgColor theme="4"/>
        <bgColor theme="4"/>
      </patternFill>
    </fill>
    <fill>
      <patternFill patternType="solid">
        <fgColor rgb="FFFFFF00"/>
        <bgColor indexed="64"/>
      </patternFill>
    </fill>
    <fill>
      <patternFill patternType="solid">
        <fgColor theme="8"/>
        <bgColor indexed="64"/>
      </patternFill>
    </fill>
    <fill>
      <patternFill patternType="solid">
        <fgColor theme="7"/>
        <bgColor indexed="64"/>
      </patternFill>
    </fill>
    <fill>
      <patternFill patternType="solid">
        <fgColor theme="2" tint="-9.9978637043366805E-2"/>
        <bgColor indexed="64"/>
      </patternFill>
    </fill>
    <fill>
      <patternFill patternType="solid">
        <fgColor theme="4"/>
        <bgColor indexed="64"/>
      </patternFill>
    </fill>
    <fill>
      <patternFill patternType="solid">
        <fgColor theme="6" tint="0.79998168889431442"/>
        <bgColor indexed="64"/>
      </patternFill>
    </fill>
    <fill>
      <patternFill patternType="solid">
        <fgColor theme="9"/>
        <bgColor indexed="64"/>
      </patternFill>
    </fill>
    <fill>
      <patternFill patternType="solid">
        <fgColor theme="3" tint="0.59999389629810485"/>
        <bgColor indexed="64"/>
      </patternFill>
    </fill>
    <fill>
      <patternFill patternType="solid">
        <fgColor theme="4" tint="0.79998168889431442"/>
        <bgColor theme="4" tint="0.79998168889431442"/>
      </patternFill>
    </fill>
  </fills>
  <borders count="17">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4" tint="0.39997558519241921"/>
      </left>
      <right/>
      <top/>
      <bottom style="thin">
        <color theme="4" tint="0.39997558519241921"/>
      </bottom>
      <diagonal/>
    </border>
    <border>
      <left/>
      <right/>
      <top/>
      <bottom style="thin">
        <color theme="4" tint="0.3999755851924192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top/>
      <bottom style="thin">
        <color theme="0" tint="-0.24994659260841701"/>
      </bottom>
      <diagonal/>
    </border>
    <border>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style="thin">
        <color theme="0" tint="-0.24994659260841701"/>
      </top>
      <bottom style="thin">
        <color theme="0" tint="-0.24994659260841701"/>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4" tint="0.39997558519241921"/>
      </right>
      <top/>
      <bottom style="thin">
        <color theme="4" tint="0.39997558519241921"/>
      </bottom>
      <diagonal/>
    </border>
  </borders>
  <cellStyleXfs count="3">
    <xf numFmtId="0" fontId="0" fillId="0" borderId="0"/>
    <xf numFmtId="9" fontId="1" fillId="0" borderId="0" applyFont="0" applyFill="0" applyBorder="0" applyAlignment="0" applyProtection="0"/>
    <xf numFmtId="0" fontId="3" fillId="0" borderId="0" applyNumberFormat="0" applyFill="0" applyBorder="0" applyAlignment="0" applyProtection="0"/>
  </cellStyleXfs>
  <cellXfs count="87">
    <xf numFmtId="0" fontId="0" fillId="0" borderId="0" xfId="0"/>
    <xf numFmtId="0" fontId="3" fillId="5" borderId="0" xfId="2" applyFill="1"/>
    <xf numFmtId="0" fontId="4" fillId="0" borderId="0" xfId="0" applyFont="1"/>
    <xf numFmtId="0" fontId="5" fillId="0" borderId="0" xfId="0" applyFont="1"/>
    <xf numFmtId="0" fontId="7" fillId="2" borderId="1" xfId="0" applyFont="1" applyFill="1" applyBorder="1"/>
    <xf numFmtId="0" fontId="4" fillId="0" borderId="1" xfId="0" applyFont="1" applyBorder="1"/>
    <xf numFmtId="3" fontId="4" fillId="0" borderId="1" xfId="0" applyNumberFormat="1" applyFont="1" applyBorder="1"/>
    <xf numFmtId="164" fontId="4" fillId="0" borderId="1" xfId="1" applyNumberFormat="1" applyFont="1" applyBorder="1"/>
    <xf numFmtId="0" fontId="8" fillId="0" borderId="1" xfId="0" applyFont="1" applyBorder="1"/>
    <xf numFmtId="3" fontId="8" fillId="0" borderId="1" xfId="0" applyNumberFormat="1" applyFont="1" applyBorder="1"/>
    <xf numFmtId="164" fontId="8" fillId="0" borderId="1" xfId="1" applyNumberFormat="1" applyFont="1" applyBorder="1"/>
    <xf numFmtId="0" fontId="9" fillId="0" borderId="0" xfId="0" applyFont="1"/>
    <xf numFmtId="0" fontId="4" fillId="0" borderId="0" xfId="0" applyFont="1" applyAlignment="1">
      <alignment horizontal="center" vertical="center"/>
    </xf>
    <xf numFmtId="0" fontId="7" fillId="3" borderId="3" xfId="0" applyFont="1" applyFill="1" applyBorder="1" applyAlignment="1">
      <alignment horizontal="center" vertical="center"/>
    </xf>
    <xf numFmtId="0" fontId="4" fillId="6" borderId="0" xfId="0" applyFont="1" applyFill="1"/>
    <xf numFmtId="0" fontId="4" fillId="0" borderId="0" xfId="0" applyFont="1" applyAlignment="1">
      <alignment vertical="center"/>
    </xf>
    <xf numFmtId="0" fontId="7" fillId="2" borderId="1" xfId="0" applyFont="1" applyFill="1" applyBorder="1" applyAlignment="1">
      <alignment vertical="center" wrapText="1"/>
    </xf>
    <xf numFmtId="0" fontId="7" fillId="2" borderId="1" xfId="0" applyFont="1" applyFill="1" applyBorder="1" applyAlignment="1">
      <alignment horizontal="center" vertical="center" wrapText="1"/>
    </xf>
    <xf numFmtId="14" fontId="5" fillId="0" borderId="0" xfId="0" applyNumberFormat="1" applyFont="1"/>
    <xf numFmtId="0" fontId="10" fillId="0" borderId="0" xfId="0" applyFont="1" applyAlignment="1">
      <alignment vertical="top"/>
    </xf>
    <xf numFmtId="0" fontId="4" fillId="5" borderId="0" xfId="0" applyFont="1" applyFill="1"/>
    <xf numFmtId="0" fontId="4" fillId="0" borderId="0" xfId="0" applyFont="1" applyAlignment="1">
      <alignment horizontal="left" vertical="center"/>
    </xf>
    <xf numFmtId="0" fontId="7" fillId="3" borderId="3" xfId="0" applyFont="1" applyFill="1" applyBorder="1" applyAlignment="1">
      <alignment horizontal="left" vertical="center"/>
    </xf>
    <xf numFmtId="3" fontId="4" fillId="0" borderId="0" xfId="0" applyNumberFormat="1" applyFont="1"/>
    <xf numFmtId="164" fontId="4" fillId="0" borderId="0" xfId="1" applyNumberFormat="1" applyFont="1"/>
    <xf numFmtId="0" fontId="7" fillId="2" borderId="0" xfId="0" applyFont="1" applyFill="1"/>
    <xf numFmtId="3" fontId="8" fillId="0" borderId="0" xfId="0" applyNumberFormat="1" applyFont="1"/>
    <xf numFmtId="0" fontId="7" fillId="0" borderId="0" xfId="0" applyFont="1" applyAlignment="1">
      <alignment horizontal="center" vertical="center" wrapText="1"/>
    </xf>
    <xf numFmtId="3" fontId="8" fillId="7" borderId="1" xfId="0" applyNumberFormat="1" applyFont="1" applyFill="1" applyBorder="1"/>
    <xf numFmtId="0" fontId="7" fillId="8" borderId="1" xfId="0" applyFont="1" applyFill="1" applyBorder="1" applyAlignment="1">
      <alignment horizontal="center" vertical="center" wrapText="1"/>
    </xf>
    <xf numFmtId="164" fontId="8" fillId="7" borderId="1" xfId="1" applyNumberFormat="1" applyFont="1" applyFill="1" applyBorder="1"/>
    <xf numFmtId="0" fontId="7" fillId="3" borderId="2" xfId="0" applyFont="1" applyFill="1" applyBorder="1" applyAlignment="1">
      <alignment horizontal="left" vertical="center"/>
    </xf>
    <xf numFmtId="0" fontId="4" fillId="0" borderId="4" xfId="0" applyFont="1" applyBorder="1"/>
    <xf numFmtId="0" fontId="4" fillId="0" borderId="5" xfId="0" applyFont="1" applyBorder="1"/>
    <xf numFmtId="0" fontId="4" fillId="0" borderId="9" xfId="0" applyFont="1" applyBorder="1"/>
    <xf numFmtId="0" fontId="4" fillId="0" borderId="10" xfId="0" applyFont="1" applyBorder="1"/>
    <xf numFmtId="0" fontId="4" fillId="0" borderId="11" xfId="0" applyFont="1" applyBorder="1"/>
    <xf numFmtId="0" fontId="7" fillId="0" borderId="6" xfId="0" applyFont="1" applyBorder="1"/>
    <xf numFmtId="0" fontId="7" fillId="0" borderId="7" xfId="0" applyFont="1" applyBorder="1"/>
    <xf numFmtId="0" fontId="7" fillId="0" borderId="8" xfId="0" applyFont="1" applyBorder="1"/>
    <xf numFmtId="0" fontId="6" fillId="4" borderId="0" xfId="0" applyFont="1" applyFill="1" applyAlignment="1">
      <alignment horizontal="left" vertical="center"/>
    </xf>
    <xf numFmtId="0" fontId="9" fillId="0" borderId="0" xfId="0" applyFont="1" applyAlignment="1">
      <alignment vertical="center"/>
    </xf>
    <xf numFmtId="0" fontId="3" fillId="0" borderId="0" xfId="2"/>
    <xf numFmtId="14" fontId="4" fillId="0" borderId="0" xfId="0" applyNumberFormat="1" applyFont="1"/>
    <xf numFmtId="3" fontId="4" fillId="6" borderId="0" xfId="0" applyNumberFormat="1" applyFont="1" applyFill="1"/>
    <xf numFmtId="0" fontId="7" fillId="2" borderId="1" xfId="0" applyFont="1" applyFill="1" applyBorder="1" applyAlignment="1">
      <alignment horizontal="left" vertical="center" wrapText="1"/>
    </xf>
    <xf numFmtId="0" fontId="7" fillId="0" borderId="0" xfId="0" applyFont="1" applyAlignment="1">
      <alignment horizontal="left" vertical="center" wrapText="1"/>
    </xf>
    <xf numFmtId="0" fontId="7" fillId="8" borderId="1" xfId="0" applyFont="1" applyFill="1" applyBorder="1" applyAlignment="1">
      <alignment horizontal="left" vertical="center" wrapText="1"/>
    </xf>
    <xf numFmtId="0" fontId="12" fillId="9" borderId="1" xfId="0" applyFont="1" applyFill="1" applyBorder="1" applyAlignment="1">
      <alignment horizontal="left" vertical="center" wrapText="1"/>
    </xf>
    <xf numFmtId="16" fontId="4" fillId="0" borderId="1" xfId="0" applyNumberFormat="1" applyFont="1" applyBorder="1"/>
    <xf numFmtId="0" fontId="7" fillId="2" borderId="1" xfId="0" applyFont="1" applyFill="1" applyBorder="1" applyAlignment="1">
      <alignment wrapText="1"/>
    </xf>
    <xf numFmtId="16" fontId="8" fillId="0" borderId="1" xfId="0" applyNumberFormat="1" applyFont="1" applyBorder="1"/>
    <xf numFmtId="3" fontId="4" fillId="5" borderId="0" xfId="0" applyNumberFormat="1" applyFont="1" applyFill="1"/>
    <xf numFmtId="3" fontId="4" fillId="10" borderId="0" xfId="0" applyNumberFormat="1" applyFont="1" applyFill="1"/>
    <xf numFmtId="0" fontId="13" fillId="0" borderId="0" xfId="0" applyFont="1"/>
    <xf numFmtId="0" fontId="4" fillId="0" borderId="0" xfId="0" quotePrefix="1" applyFont="1"/>
    <xf numFmtId="0" fontId="3" fillId="5" borderId="0" xfId="2" applyFill="1" applyAlignment="1">
      <alignment vertical="top"/>
    </xf>
    <xf numFmtId="0" fontId="7" fillId="3" borderId="0" xfId="0" applyFont="1" applyFill="1" applyAlignment="1">
      <alignment horizontal="left" vertical="center"/>
    </xf>
    <xf numFmtId="3" fontId="4" fillId="0" borderId="0" xfId="1" applyNumberFormat="1" applyFont="1"/>
    <xf numFmtId="0" fontId="7" fillId="11" borderId="1" xfId="0" applyFont="1" applyFill="1" applyBorder="1" applyAlignment="1">
      <alignment horizontal="left" vertical="center" wrapText="1"/>
    </xf>
    <xf numFmtId="164" fontId="4" fillId="0" borderId="1" xfId="1" applyNumberFormat="1" applyFont="1" applyFill="1" applyBorder="1"/>
    <xf numFmtId="14" fontId="4" fillId="0" borderId="1" xfId="0" applyNumberFormat="1" applyFont="1" applyBorder="1"/>
    <xf numFmtId="3" fontId="4" fillId="0" borderId="1" xfId="0" applyNumberFormat="1" applyFont="1" applyBorder="1" applyAlignment="1">
      <alignment horizontal="right"/>
    </xf>
    <xf numFmtId="164" fontId="4" fillId="0" borderId="1" xfId="1" applyNumberFormat="1" applyFont="1" applyBorder="1" applyAlignment="1">
      <alignment horizontal="right"/>
    </xf>
    <xf numFmtId="3" fontId="11" fillId="6" borderId="0" xfId="0" applyNumberFormat="1" applyFont="1" applyFill="1"/>
    <xf numFmtId="0" fontId="4" fillId="12" borderId="13" xfId="0" applyFont="1" applyFill="1" applyBorder="1"/>
    <xf numFmtId="0" fontId="4" fillId="12" borderId="14" xfId="0" applyFont="1" applyFill="1" applyBorder="1"/>
    <xf numFmtId="0" fontId="4" fillId="12" borderId="15" xfId="0" applyFont="1" applyFill="1" applyBorder="1"/>
    <xf numFmtId="0" fontId="7" fillId="3" borderId="2" xfId="0" applyFont="1" applyFill="1" applyBorder="1"/>
    <xf numFmtId="0" fontId="7" fillId="3" borderId="3" xfId="0" applyFont="1" applyFill="1" applyBorder="1"/>
    <xf numFmtId="0" fontId="7" fillId="3" borderId="16" xfId="0" applyFont="1" applyFill="1" applyBorder="1"/>
    <xf numFmtId="0" fontId="14" fillId="0" borderId="0" xfId="0" pivotButton="1" applyFont="1" applyAlignment="1">
      <alignment vertical="center"/>
    </xf>
    <xf numFmtId="0" fontId="14" fillId="0" borderId="0" xfId="0" applyFont="1" applyAlignment="1">
      <alignment vertical="center"/>
    </xf>
    <xf numFmtId="0" fontId="14" fillId="0" borderId="0" xfId="0" applyFont="1" applyAlignment="1">
      <alignment horizontal="center" vertical="center" wrapText="1"/>
    </xf>
    <xf numFmtId="0" fontId="14" fillId="0" borderId="0" xfId="0" applyFont="1" applyAlignment="1">
      <alignment horizontal="left" vertical="center"/>
    </xf>
    <xf numFmtId="165" fontId="14" fillId="0" borderId="0" xfId="0" applyNumberFormat="1" applyFont="1" applyAlignment="1">
      <alignment vertical="center"/>
    </xf>
    <xf numFmtId="164" fontId="14" fillId="0" borderId="0" xfId="0" applyNumberFormat="1" applyFont="1" applyAlignment="1">
      <alignment vertical="center"/>
    </xf>
    <xf numFmtId="0" fontId="14" fillId="0" borderId="0" xfId="0" applyFont="1" applyAlignment="1">
      <alignment horizontal="center" vertical="center"/>
    </xf>
    <xf numFmtId="0" fontId="6" fillId="4" borderId="0" xfId="0" applyFont="1" applyFill="1"/>
    <xf numFmtId="166" fontId="4" fillId="0" borderId="0" xfId="0" applyNumberFormat="1" applyFont="1"/>
    <xf numFmtId="0" fontId="4" fillId="0" borderId="0" xfId="0" applyFont="1" applyAlignment="1">
      <alignment horizontal="center"/>
    </xf>
    <xf numFmtId="0" fontId="5" fillId="9" borderId="5" xfId="0" applyFont="1" applyFill="1" applyBorder="1" applyAlignment="1">
      <alignment horizontal="center"/>
    </xf>
    <xf numFmtId="0" fontId="5" fillId="9" borderId="12" xfId="0" applyFont="1" applyFill="1" applyBorder="1" applyAlignment="1">
      <alignment horizontal="center"/>
    </xf>
    <xf numFmtId="0" fontId="5" fillId="9" borderId="4" xfId="0" applyFont="1" applyFill="1" applyBorder="1" applyAlignment="1">
      <alignment horizontal="center"/>
    </xf>
    <xf numFmtId="0" fontId="5" fillId="0" borderId="0" xfId="0" applyFont="1" applyAlignment="1">
      <alignment horizontal="center"/>
    </xf>
    <xf numFmtId="0" fontId="7" fillId="2" borderId="5" xfId="0" applyFont="1" applyFill="1" applyBorder="1" applyAlignment="1">
      <alignment horizontal="center"/>
    </xf>
    <xf numFmtId="0" fontId="7" fillId="2" borderId="4" xfId="0" applyFont="1" applyFill="1" applyBorder="1" applyAlignment="1">
      <alignment horizontal="center"/>
    </xf>
  </cellXfs>
  <cellStyles count="3">
    <cellStyle name="Hyperlink" xfId="2" builtinId="8"/>
    <cellStyle name="Normal" xfId="0" builtinId="0"/>
    <cellStyle name="Per cent" xfId="1" builtinId="5"/>
  </cellStyles>
  <dxfs count="159">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none">
          <bgColor auto="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patternType="none">
          <bgColor auto="1"/>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b val="0"/>
        <i val="0"/>
        <strike val="0"/>
        <condense val="0"/>
        <extend val="0"/>
        <outline val="0"/>
        <shadow val="0"/>
        <u val="none"/>
        <vertAlign val="baseline"/>
        <sz val="11"/>
        <color theme="1"/>
        <name val="Aptos Narrow"/>
        <family val="2"/>
        <scheme val="none"/>
      </font>
      <numFmt numFmtId="3" formatCode="#,##0"/>
    </dxf>
    <dxf>
      <font>
        <b/>
        <i val="0"/>
        <strike val="0"/>
        <condense val="0"/>
        <extend val="0"/>
        <outline val="0"/>
        <shadow val="0"/>
        <u val="none"/>
        <vertAlign val="baseline"/>
        <sz val="11"/>
        <color theme="0"/>
        <name val="Aptos Narrow"/>
        <family val="2"/>
        <scheme val="none"/>
      </font>
      <fill>
        <patternFill patternType="solid">
          <fgColor theme="4"/>
          <bgColor theme="4"/>
        </patternFill>
      </fill>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border outline="0">
        <bottom style="thin">
          <color theme="4" tint="0.39997558519241921"/>
        </bottom>
      </border>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alignment vertical="center"/>
    </dxf>
    <dxf>
      <alignment vertical="center"/>
    </dxf>
    <dxf>
      <alignment vertical="center"/>
    </dxf>
    <dxf>
      <alignment vertical="center"/>
    </dxf>
    <dxf>
      <alignment vertical="center"/>
    </dxf>
    <dxf>
      <alignment vertical="center"/>
    </dxf>
    <dxf>
      <alignment horizontal="center"/>
    </dxf>
    <dxf>
      <numFmt numFmtId="164" formatCode="0.0%"/>
    </dxf>
    <dxf>
      <numFmt numFmtId="165" formatCode="_-* #,##0_-;\-* #,##0_-;_-* &quot;-&quot;??_-;_-@_-"/>
    </dxf>
    <dxf>
      <font>
        <name val="Aptos Narrow"/>
        <scheme val="none"/>
      </font>
    </dxf>
    <dxf>
      <font>
        <name val="Aptos Narrow"/>
        <scheme val="none"/>
      </font>
    </dxf>
    <dxf>
      <font>
        <name val="Aptos Narrow"/>
        <scheme val="none"/>
      </font>
    </dxf>
    <dxf>
      <font>
        <name val="Aptos Narrow"/>
        <scheme val="none"/>
      </font>
    </dxf>
    <dxf>
      <font>
        <name val="Aptos Narrow"/>
        <scheme val="none"/>
      </font>
    </dxf>
    <dxf>
      <font>
        <name val="Aptos Narrow"/>
        <scheme val="none"/>
      </font>
    </dxf>
    <dxf>
      <alignment vertical="center"/>
    </dxf>
    <dxf>
      <alignment vertical="center"/>
    </dxf>
    <dxf>
      <alignment vertical="center"/>
    </dxf>
    <dxf>
      <alignment vertical="center"/>
    </dxf>
    <dxf>
      <alignment vertical="center"/>
    </dxf>
    <dxf>
      <alignment vertical="center"/>
    </dxf>
    <dxf>
      <alignment horizontal="center"/>
    </dxf>
    <dxf>
      <numFmt numFmtId="164" formatCode="0.0%"/>
    </dxf>
    <dxf>
      <alignment wrapText="1"/>
    </dxf>
    <dxf>
      <numFmt numFmtId="165" formatCode="_-* #,##0_-;\-* #,##0_-;_-* &quot;-&quot;??_-;_-@_-"/>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border diagonalUp="0" diagonalDown="0">
        <left style="thin">
          <color theme="0" tint="-0.24994659260841701"/>
        </left>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Aptos Narrow"/>
        <family val="2"/>
        <scheme val="none"/>
      </font>
      <border diagonalUp="0" diagonalDown="0">
        <left style="thin">
          <color theme="0" tint="-0.24994659260841701"/>
        </left>
        <right style="thin">
          <color theme="0" tint="-0.24994659260841701"/>
        </right>
        <top style="thin">
          <color theme="0" tint="-0.24994659260841701"/>
        </top>
        <bottom style="thin">
          <color theme="0" tint="-0.24994659260841701"/>
        </bottom>
        <vertical/>
        <horizontal/>
      </border>
    </dxf>
    <dxf>
      <font>
        <b val="0"/>
        <i val="0"/>
        <strike val="0"/>
        <condense val="0"/>
        <extend val="0"/>
        <outline val="0"/>
        <shadow val="0"/>
        <u val="none"/>
        <vertAlign val="baseline"/>
        <sz val="11"/>
        <color theme="1"/>
        <name val="Aptos Narrow"/>
        <family val="2"/>
        <scheme val="none"/>
      </font>
      <border diagonalUp="0" diagonalDown="0">
        <left/>
        <right style="thin">
          <color theme="0" tint="-0.24994659260841701"/>
        </right>
        <top style="thin">
          <color theme="0" tint="-0.24994659260841701"/>
        </top>
        <bottom style="thin">
          <color theme="0" tint="-0.24994659260841701"/>
        </bottom>
        <vertical/>
        <horizontal/>
      </border>
    </dxf>
    <dxf>
      <border outline="0">
        <top style="thin">
          <color theme="0" tint="-0.24994659260841701"/>
        </top>
      </border>
    </dxf>
    <dxf>
      <border outline="0">
        <left style="thin">
          <color theme="0" tint="-0.24994659260841701"/>
        </left>
        <right style="thin">
          <color theme="0" tint="-0.24994659260841701"/>
        </right>
        <top style="thin">
          <color theme="0" tint="-0.24994659260841701"/>
        </top>
        <bottom style="thin">
          <color theme="0" tint="-0.24994659260841701"/>
        </bottom>
      </border>
    </dxf>
    <dxf>
      <border outline="0">
        <bottom style="thin">
          <color theme="0" tint="-0.24994659260841701"/>
        </bottom>
      </border>
    </dxf>
    <dxf>
      <font>
        <b/>
        <i val="0"/>
        <strike val="0"/>
        <condense val="0"/>
        <extend val="0"/>
        <outline val="0"/>
        <shadow val="0"/>
        <u val="none"/>
        <vertAlign val="baseline"/>
        <sz val="11"/>
        <color theme="0"/>
        <name val="Aptos Narrow"/>
        <family val="2"/>
        <scheme val="none"/>
      </font>
      <fill>
        <patternFill patternType="none">
          <fgColor indexed="64"/>
          <bgColor auto="1"/>
        </patternFill>
      </fill>
      <border diagonalUp="0" diagonalDown="0" outline="0">
        <left style="thin">
          <color theme="0" tint="-0.24994659260841701"/>
        </left>
        <right style="thin">
          <color theme="0" tint="-0.24994659260841701"/>
        </right>
        <top/>
        <bottom/>
      </border>
    </dxf>
    <dxf>
      <font>
        <strike val="0"/>
        <outline val="0"/>
        <shadow val="0"/>
        <vertAlign val="baseline"/>
        <sz val="11"/>
        <name val="Aptos Narrow"/>
        <family val="2"/>
        <scheme val="none"/>
      </font>
      <numFmt numFmtId="0" formatCode="General"/>
    </dxf>
    <dxf>
      <font>
        <strike val="0"/>
        <outline val="0"/>
        <shadow val="0"/>
        <vertAlign val="baseline"/>
        <sz val="11"/>
        <name val="Aptos Narrow"/>
        <family val="2"/>
        <scheme val="none"/>
      </font>
      <numFmt numFmtId="0" formatCode="General"/>
      <fill>
        <patternFill patternType="solid">
          <fgColor indexed="64"/>
          <bgColor theme="7"/>
        </patternFill>
      </fill>
    </dxf>
    <dxf>
      <font>
        <strike val="0"/>
        <outline val="0"/>
        <shadow val="0"/>
        <vertAlign val="baseline"/>
        <sz val="11"/>
        <name val="Aptos Narrow"/>
        <family val="2"/>
        <scheme val="none"/>
      </font>
    </dxf>
    <dxf>
      <font>
        <b val="0"/>
        <i val="0"/>
        <strike val="0"/>
        <condense val="0"/>
        <extend val="0"/>
        <outline val="0"/>
        <shadow val="0"/>
        <u val="none"/>
        <vertAlign val="baseline"/>
        <sz val="11"/>
        <color theme="1"/>
        <name val="Aptos Narrow"/>
        <family val="2"/>
        <scheme val="none"/>
      </font>
      <numFmt numFmtId="3" formatCode="#,##0"/>
    </dxf>
    <dxf>
      <font>
        <strike val="0"/>
        <outline val="0"/>
        <shadow val="0"/>
        <vertAlign val="baseline"/>
        <sz val="11"/>
        <name val="Aptos Narrow"/>
        <family val="2"/>
        <scheme val="none"/>
      </font>
      <numFmt numFmtId="3" formatCode="#,##0"/>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b/>
        <i val="0"/>
        <strike val="0"/>
        <condense val="0"/>
        <extend val="0"/>
        <outline val="0"/>
        <shadow val="0"/>
        <u val="none"/>
        <vertAlign val="baseline"/>
        <sz val="11"/>
        <color theme="0"/>
        <name val="Aptos Narrow"/>
        <family val="2"/>
        <scheme val="none"/>
      </font>
      <fill>
        <patternFill patternType="solid">
          <fgColor theme="4"/>
          <bgColor theme="4"/>
        </patternFill>
      </fill>
      <alignment horizontal="left" vertical="center" textRotation="0" wrapText="0" indent="0" justifyLastLine="0" shrinkToFit="0" readingOrder="0"/>
    </dxf>
    <dxf>
      <font>
        <strike val="0"/>
        <outline val="0"/>
        <shadow val="0"/>
        <vertAlign val="baseline"/>
        <sz val="11"/>
        <name val="Aptos Narrow"/>
        <family val="2"/>
        <scheme val="none"/>
      </font>
      <fill>
        <patternFill patternType="solid">
          <fgColor indexed="64"/>
          <bgColor theme="7"/>
        </patternFill>
      </fill>
    </dxf>
    <dxf>
      <font>
        <strike val="0"/>
        <outline val="0"/>
        <shadow val="0"/>
        <vertAlign val="baseline"/>
        <sz val="11"/>
        <name val="Aptos Narrow"/>
        <family val="2"/>
        <scheme val="none"/>
      </font>
    </dxf>
    <dxf>
      <font>
        <b val="0"/>
        <i val="0"/>
        <strike val="0"/>
        <condense val="0"/>
        <extend val="0"/>
        <outline val="0"/>
        <shadow val="0"/>
        <u val="none"/>
        <vertAlign val="baseline"/>
        <sz val="11"/>
        <color theme="1"/>
        <name val="Aptos Narrow"/>
        <family val="2"/>
        <scheme val="none"/>
      </font>
      <numFmt numFmtId="3" formatCode="#,##0"/>
    </dxf>
    <dxf>
      <font>
        <strike val="0"/>
        <outline val="0"/>
        <shadow val="0"/>
        <vertAlign val="baseline"/>
        <sz val="11"/>
        <name val="Aptos Narrow"/>
        <family val="2"/>
        <scheme val="none"/>
      </font>
      <numFmt numFmtId="3" formatCode="#,##0"/>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border outline="0">
        <top style="thin">
          <color theme="4" tint="0.39997558519241921"/>
        </top>
      </border>
    </dxf>
    <dxf>
      <font>
        <strike val="0"/>
        <outline val="0"/>
        <shadow val="0"/>
        <vertAlign val="baseline"/>
        <sz val="11"/>
        <name val="Aptos Narrow"/>
        <family val="2"/>
        <scheme val="none"/>
      </font>
    </dxf>
    <dxf>
      <border outline="0">
        <bottom style="thin">
          <color theme="4" tint="0.39997558519241921"/>
        </bottom>
      </border>
    </dxf>
    <dxf>
      <font>
        <b/>
        <i val="0"/>
        <strike val="0"/>
        <condense val="0"/>
        <extend val="0"/>
        <outline val="0"/>
        <shadow val="0"/>
        <u val="none"/>
        <vertAlign val="baseline"/>
        <sz val="11"/>
        <color theme="0"/>
        <name val="Aptos Narrow"/>
        <family val="2"/>
        <scheme val="none"/>
      </font>
      <fill>
        <patternFill patternType="solid">
          <fgColor theme="4"/>
          <bgColor theme="4"/>
        </patternFill>
      </fill>
      <alignment horizontal="center" vertical="center" textRotation="0" wrapText="0" indent="0" justifyLastLine="0" shrinkToFit="0" readingOrder="0"/>
    </dxf>
    <dxf>
      <font>
        <strike val="0"/>
        <outline val="0"/>
        <shadow val="0"/>
        <vertAlign val="baseline"/>
        <sz val="11"/>
        <name val="Aptos Narrow"/>
        <family val="2"/>
        <scheme val="none"/>
      </font>
    </dxf>
    <dxf>
      <font>
        <strike val="0"/>
        <outline val="0"/>
        <shadow val="0"/>
        <vertAlign val="baseline"/>
        <sz val="11"/>
        <name val="Aptos Narrow"/>
        <family val="2"/>
        <scheme val="none"/>
      </font>
      <numFmt numFmtId="3" formatCode="#,##0"/>
    </dxf>
    <dxf>
      <font>
        <strike val="0"/>
        <outline val="0"/>
        <shadow val="0"/>
        <vertAlign val="baseline"/>
        <sz val="11"/>
        <name val="Aptos Narrow"/>
        <family val="2"/>
        <scheme val="none"/>
      </font>
      <numFmt numFmtId="3" formatCode="#,##0"/>
    </dxf>
    <dxf>
      <font>
        <strike val="0"/>
        <outline val="0"/>
        <shadow val="0"/>
        <vertAlign val="baseline"/>
        <sz val="11"/>
        <name val="Aptos Narrow"/>
        <family val="2"/>
        <scheme val="none"/>
      </font>
      <numFmt numFmtId="164" formatCode="0.0%"/>
    </dxf>
    <dxf>
      <font>
        <b val="0"/>
        <i val="0"/>
        <strike val="0"/>
        <condense val="0"/>
        <extend val="0"/>
        <outline val="0"/>
        <shadow val="0"/>
        <u val="none"/>
        <vertAlign val="baseline"/>
        <sz val="11"/>
        <color theme="1"/>
        <name val="Aptos Narrow"/>
        <family val="2"/>
        <scheme val="none"/>
      </font>
      <numFmt numFmtId="164" formatCode="0.0%"/>
    </dxf>
    <dxf>
      <font>
        <strike val="0"/>
        <outline val="0"/>
        <shadow val="0"/>
        <vertAlign val="baseline"/>
        <sz val="11"/>
        <name val="Aptos Narrow"/>
        <family val="2"/>
        <scheme val="none"/>
      </font>
      <numFmt numFmtId="3" formatCode="#,##0"/>
    </dxf>
    <dxf>
      <font>
        <strike val="0"/>
        <outline val="0"/>
        <shadow val="0"/>
        <vertAlign val="baseline"/>
        <sz val="11"/>
        <name val="Aptos Narrow"/>
        <family val="2"/>
        <scheme val="none"/>
      </font>
      <numFmt numFmtId="3" formatCode="#,##0"/>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dxf>
    <dxf>
      <font>
        <strike val="0"/>
        <outline val="0"/>
        <shadow val="0"/>
        <vertAlign val="baseline"/>
        <sz val="11"/>
        <name val="Aptos Narrow"/>
        <family val="2"/>
        <scheme val="none"/>
      </font>
      <alignment horizontal="left" vertical="center" textRotation="0" wrapText="0" indent="0" justifyLastLine="0" shrinkToFit="0" readingOrder="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border outline="0">
        <top style="thin">
          <color theme="4" tint="0.39997558519241921"/>
        </top>
      </border>
    </dxf>
    <dxf>
      <font>
        <b val="0"/>
        <i val="0"/>
        <strike val="0"/>
        <condense val="0"/>
        <extend val="0"/>
        <outline val="0"/>
        <shadow val="0"/>
        <u val="none"/>
        <vertAlign val="baseline"/>
        <sz val="11"/>
        <color theme="1"/>
        <name val="Aptos Narrow"/>
        <family val="2"/>
        <scheme val="none"/>
      </font>
    </dxf>
    <dxf>
      <border outline="0">
        <bottom style="thin">
          <color theme="4" tint="0.39997558519241921"/>
        </bottom>
      </border>
    </dxf>
    <dxf>
      <font>
        <b/>
        <i val="0"/>
        <strike val="0"/>
        <condense val="0"/>
        <extend val="0"/>
        <outline val="0"/>
        <shadow val="0"/>
        <u val="none"/>
        <vertAlign val="baseline"/>
        <sz val="11"/>
        <color theme="0"/>
        <name val="Aptos Narrow"/>
        <family val="2"/>
        <scheme val="none"/>
      </font>
      <fill>
        <patternFill patternType="solid">
          <fgColor theme="4"/>
          <bgColor theme="4"/>
        </patternFill>
      </fill>
    </dxf>
    <dxf>
      <font>
        <b val="0"/>
        <i val="0"/>
        <strike val="0"/>
        <condense val="0"/>
        <extend val="0"/>
        <outline val="0"/>
        <shadow val="0"/>
        <u val="none"/>
        <vertAlign val="baseline"/>
        <sz val="11"/>
        <color theme="1"/>
        <name val="Aptos Narrow"/>
        <family val="2"/>
        <scheme val="none"/>
      </font>
      <numFmt numFmtId="0" formatCode="General"/>
    </dxf>
    <dxf>
      <font>
        <b val="0"/>
        <i val="0"/>
        <strike val="0"/>
        <condense val="0"/>
        <extend val="0"/>
        <outline val="0"/>
        <shadow val="0"/>
        <u val="none"/>
        <vertAlign val="baseline"/>
        <sz val="11"/>
        <color theme="1"/>
        <name val="Aptos Narrow"/>
        <family val="2"/>
        <scheme val="none"/>
      </font>
      <numFmt numFmtId="0" formatCode="General"/>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numFmt numFmtId="3" formatCode="#,##0"/>
      <fill>
        <patternFill patternType="solid">
          <fgColor indexed="64"/>
          <bgColor theme="7"/>
        </patternFill>
      </fill>
    </dxf>
    <dxf>
      <font>
        <b val="0"/>
        <i val="0"/>
        <strike val="0"/>
        <condense val="0"/>
        <extend val="0"/>
        <outline val="0"/>
        <shadow val="0"/>
        <u val="none"/>
        <vertAlign val="baseline"/>
        <sz val="11"/>
        <color theme="1"/>
        <name val="Aptos Narrow"/>
        <family val="2"/>
        <scheme val="none"/>
      </font>
      <numFmt numFmtId="164" formatCode="0.0%"/>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numFmt numFmtId="19" formatCode="dd/mm/yyyy"/>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numFmt numFmtId="0" formatCode="General"/>
    </dxf>
    <dxf>
      <font>
        <b val="0"/>
        <i val="0"/>
        <strike val="0"/>
        <condense val="0"/>
        <extend val="0"/>
        <outline val="0"/>
        <shadow val="0"/>
        <u val="none"/>
        <vertAlign val="baseline"/>
        <sz val="11"/>
        <color theme="1"/>
        <name val="Aptos Narrow"/>
        <family val="2"/>
        <scheme val="none"/>
      </font>
      <numFmt numFmtId="164" formatCode="0.0%"/>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numFmt numFmtId="3" formatCode="#,##0"/>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numFmt numFmtId="19" formatCode="dd/mm/yyyy"/>
    </dxf>
    <dxf>
      <font>
        <b val="0"/>
        <i val="0"/>
        <strike val="0"/>
        <condense val="0"/>
        <extend val="0"/>
        <outline val="0"/>
        <shadow val="0"/>
        <u val="none"/>
        <vertAlign val="baseline"/>
        <sz val="11"/>
        <color theme="1"/>
        <name val="Aptos Narrow"/>
        <family val="2"/>
        <scheme val="none"/>
      </font>
    </dxf>
    <dxf>
      <font>
        <b val="0"/>
        <i val="0"/>
        <strike val="0"/>
        <condense val="0"/>
        <extend val="0"/>
        <outline val="0"/>
        <shadow val="0"/>
        <u val="none"/>
        <vertAlign val="baseline"/>
        <sz val="11"/>
        <color theme="1"/>
        <name val="Aptos Narrow"/>
        <family val="2"/>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pivotCacheDefinition" Target="pivotCache/pivotCacheDefinition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London</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112168270632837"/>
        </c:manualLayout>
      </c:layout>
      <c:lineChart>
        <c:grouping val="standard"/>
        <c:varyColors val="0"/>
        <c:ser>
          <c:idx val="0"/>
          <c:order val="0"/>
          <c:tx>
            <c:strRef>
              <c:f>'YoY FL Charts'!$C$7</c:f>
              <c:strCache>
                <c:ptCount val="1"/>
                <c:pt idx="0">
                  <c:v>LDN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Charts'!$C$8:$C$25</c:f>
              <c:numCache>
                <c:formatCode>0.0%</c:formatCode>
                <c:ptCount val="18"/>
                <c:pt idx="0">
                  <c:v>6.4921880287592999E-3</c:v>
                </c:pt>
                <c:pt idx="1">
                  <c:v>3.1232739398154779E-2</c:v>
                </c:pt>
                <c:pt idx="2">
                  <c:v>8.6144467401755215E-2</c:v>
                </c:pt>
                <c:pt idx="3">
                  <c:v>0.13298590512038949</c:v>
                </c:pt>
                <c:pt idx="4">
                  <c:v>0.16928686864554141</c:v>
                </c:pt>
                <c:pt idx="5">
                  <c:v>0.19883190475216334</c:v>
                </c:pt>
                <c:pt idx="6">
                  <c:v>0.22468956487940592</c:v>
                </c:pt>
                <c:pt idx="7">
                  <c:v>0.2464967371069697</c:v>
                </c:pt>
                <c:pt idx="8">
                  <c:v>0.26437616349242066</c:v>
                </c:pt>
                <c:pt idx="9">
                  <c:v>0.27830227277376596</c:v>
                </c:pt>
                <c:pt idx="10">
                  <c:v>0.28987582595176237</c:v>
                </c:pt>
                <c:pt idx="11">
                  <c:v>0.30113229548104659</c:v>
                </c:pt>
                <c:pt idx="12">
                  <c:v>0.31080334676676963</c:v>
                </c:pt>
                <c:pt idx="13">
                  <c:v>0.31001986201129</c:v>
                </c:pt>
                <c:pt idx="14">
                  <c:v>0.31400739725745136</c:v>
                </c:pt>
                <c:pt idx="15">
                  <c:v>0.32034356934935015</c:v>
                </c:pt>
                <c:pt idx="16">
                  <c:v>0.32483685534848517</c:v>
                </c:pt>
                <c:pt idx="17">
                  <c:v>0.32808720429666682</c:v>
                </c:pt>
              </c:numCache>
            </c:numRef>
          </c:val>
          <c:smooth val="1"/>
          <c:extLst>
            <c:ext xmlns:c16="http://schemas.microsoft.com/office/drawing/2014/chart" uri="{C3380CC4-5D6E-409C-BE32-E72D297353CC}">
              <c16:uniqueId val="{00000000-D650-4E2D-9721-636F5BACA7AA}"/>
            </c:ext>
          </c:extLst>
        </c:ser>
        <c:ser>
          <c:idx val="1"/>
          <c:order val="1"/>
          <c:tx>
            <c:strRef>
              <c:f>'YoY FL Charts'!$D$7</c:f>
              <c:strCache>
                <c:ptCount val="1"/>
                <c:pt idx="0">
                  <c:v>LDN AW 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Charts'!$D$8:$D$25</c:f>
              <c:numCache>
                <c:formatCode>0.0%</c:formatCode>
                <c:ptCount val="18"/>
                <c:pt idx="0">
                  <c:v>3.7323170102623545E-3</c:v>
                </c:pt>
                <c:pt idx="1">
                  <c:v>4.1103246527422622E-2</c:v>
                </c:pt>
                <c:pt idx="2">
                  <c:v>0.10124174048237629</c:v>
                </c:pt>
                <c:pt idx="3">
                  <c:v>0.15488001963872922</c:v>
                </c:pt>
                <c:pt idx="4">
                  <c:v>0.19669926150195363</c:v>
                </c:pt>
                <c:pt idx="5">
                  <c:v>0.22966573246322852</c:v>
                </c:pt>
                <c:pt idx="6">
                  <c:v>0.26105189943334084</c:v>
                </c:pt>
                <c:pt idx="7">
                  <c:v>0.28920074463514922</c:v>
                </c:pt>
                <c:pt idx="8">
                  <c:v>0.31214839514759735</c:v>
                </c:pt>
                <c:pt idx="9">
                  <c:v>0.33331628582533807</c:v>
                </c:pt>
                <c:pt idx="10">
                  <c:v>0.34725262361148046</c:v>
                </c:pt>
                <c:pt idx="11">
                  <c:v>0.36506556471574986</c:v>
                </c:pt>
                <c:pt idx="12">
                  <c:v>0.38005543849600065</c:v>
                </c:pt>
                <c:pt idx="13">
                  <c:v>0.38269950698606875</c:v>
                </c:pt>
                <c:pt idx="14">
                  <c:v>0.38466046368169432</c:v>
                </c:pt>
                <c:pt idx="15">
                  <c:v>0.38833029887691017</c:v>
                </c:pt>
                <c:pt idx="16">
                  <c:v>0.39123519423930608</c:v>
                </c:pt>
                <c:pt idx="17">
                  <c:v>0.39182667250401315</c:v>
                </c:pt>
              </c:numCache>
            </c:numRef>
          </c:val>
          <c:smooth val="1"/>
          <c:extLst>
            <c:ext xmlns:c16="http://schemas.microsoft.com/office/drawing/2014/chart" uri="{C3380CC4-5D6E-409C-BE32-E72D297353CC}">
              <c16:uniqueId val="{00000001-D650-4E2D-9721-636F5BACA7AA}"/>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6712483018768385"/>
          <c:y val="0.65798556430446187"/>
          <c:w val="0.20695636977538609"/>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'YoY FL Detail MH+CH'!$P$4</c:f>
              <c:strCache>
                <c:ptCount val="1"/>
                <c:pt idx="0">
                  <c:v>AW25 FL Uptake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'YoY FL Detail MH+CH'!$M$5:$M$13</c:f>
              <c:strCache>
                <c:ptCount val="9"/>
                <c:pt idx="0">
                  <c:v>Medical and Dental</c:v>
                </c:pt>
                <c:pt idx="1">
                  <c:v>Healthcare Scientists</c:v>
                </c:pt>
                <c:pt idx="2">
                  <c:v>Allied Health Professionals</c:v>
                </c:pt>
                <c:pt idx="3">
                  <c:v>Add Prof Scientific and Technic</c:v>
                </c:pt>
                <c:pt idx="4">
                  <c:v>Administrative and Clerical</c:v>
                </c:pt>
                <c:pt idx="5">
                  <c:v>Nursing and Midwifery Registered</c:v>
                </c:pt>
                <c:pt idx="6">
                  <c:v>Estates and Ancillary</c:v>
                </c:pt>
                <c:pt idx="7">
                  <c:v>Students</c:v>
                </c:pt>
                <c:pt idx="8">
                  <c:v>Additional Clinical Services</c:v>
                </c:pt>
              </c:strCache>
            </c:strRef>
          </c:cat>
          <c:val>
            <c:numRef>
              <c:f>'YoY FL Detail MH+CH'!$P$5:$P$13</c:f>
              <c:numCache>
                <c:formatCode>0.0%</c:formatCode>
                <c:ptCount val="9"/>
                <c:pt idx="0">
                  <c:v>0.50461371449249137</c:v>
                </c:pt>
                <c:pt idx="1">
                  <c:v>0.43085106382978722</c:v>
                </c:pt>
                <c:pt idx="2">
                  <c:v>0.42288738820952726</c:v>
                </c:pt>
                <c:pt idx="3">
                  <c:v>0.3967168262653899</c:v>
                </c:pt>
                <c:pt idx="4">
                  <c:v>0.38938938938938938</c:v>
                </c:pt>
                <c:pt idx="5">
                  <c:v>0.35494474355341454</c:v>
                </c:pt>
                <c:pt idx="6">
                  <c:v>0.33664772727272729</c:v>
                </c:pt>
                <c:pt idx="7">
                  <c:v>0.29966329966329969</c:v>
                </c:pt>
                <c:pt idx="8">
                  <c:v>0.27771694497673144</c:v>
                </c:pt>
              </c:numCache>
            </c:numRef>
          </c:val>
          <c:extLst>
            <c:ext xmlns:c16="http://schemas.microsoft.com/office/drawing/2014/chart" uri="{C3380CC4-5D6E-409C-BE32-E72D297353CC}">
              <c16:uniqueId val="{00000000-ED79-4145-9150-944332AC4072}"/>
            </c:ext>
          </c:extLst>
        </c:ser>
        <c:dLbls>
          <c:dLblPos val="outEnd"/>
          <c:showLegendKey val="0"/>
          <c:showVal val="1"/>
          <c:showCatName val="0"/>
          <c:showSerName val="0"/>
          <c:showPercent val="0"/>
          <c:showBubbleSize val="0"/>
        </c:dLbls>
        <c:gapWidth val="50"/>
        <c:axId val="239302832"/>
        <c:axId val="1532333456"/>
      </c:barChart>
      <c:catAx>
        <c:axId val="239302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1532333456"/>
        <c:crosses val="autoZero"/>
        <c:auto val="1"/>
        <c:lblAlgn val="ctr"/>
        <c:lblOffset val="100"/>
        <c:noMultiLvlLbl val="0"/>
      </c:catAx>
      <c:valAx>
        <c:axId val="1532333456"/>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23930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'YoY FL Detail MH+CH'!$P$15</c:f>
              <c:strCache>
                <c:ptCount val="1"/>
                <c:pt idx="0">
                  <c:v>Uptake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'YoY FL Detail MH+CH'!$M$16:$M$32</c:f>
              <c:strCache>
                <c:ptCount val="17"/>
                <c:pt idx="0">
                  <c:v>R: Other ethnic groups - Chinese</c:v>
                </c:pt>
                <c:pt idx="1">
                  <c:v>B: White - Irish</c:v>
                </c:pt>
                <c:pt idx="2">
                  <c:v>A: White - British</c:v>
                </c:pt>
                <c:pt idx="3">
                  <c:v>F: Mixed - White and Asian</c:v>
                </c:pt>
                <c:pt idx="4">
                  <c:v>L: Asian or Asian British - Any other Asian background</c:v>
                </c:pt>
                <c:pt idx="5">
                  <c:v>H: Asian or Asian British - Indian</c:v>
                </c:pt>
                <c:pt idx="6">
                  <c:v>C: White - Any other White background</c:v>
                </c:pt>
                <c:pt idx="7">
                  <c:v>G: Mixed - Any other Mixed background</c:v>
                </c:pt>
                <c:pt idx="8">
                  <c:v>S: Other ethnic groups - Any other ethnic group</c:v>
                </c:pt>
                <c:pt idx="9">
                  <c:v>X: Unknown</c:v>
                </c:pt>
                <c:pt idx="10">
                  <c:v>N: Black or Black British - African</c:v>
                </c:pt>
                <c:pt idx="11">
                  <c:v>J: Asian or Asian British - Pakistani</c:v>
                </c:pt>
                <c:pt idx="12">
                  <c:v>D: Mixed - White and Black Caribbean</c:v>
                </c:pt>
                <c:pt idx="13">
                  <c:v>E: Mixed - White and Black African</c:v>
                </c:pt>
                <c:pt idx="14">
                  <c:v>K: Asian or Asian British - Bangladeshi</c:v>
                </c:pt>
                <c:pt idx="15">
                  <c:v>P: Black or Black British - Any other Black background</c:v>
                </c:pt>
                <c:pt idx="16">
                  <c:v>M: Black or Black British - Caribbean</c:v>
                </c:pt>
              </c:strCache>
            </c:strRef>
          </c:cat>
          <c:val>
            <c:numRef>
              <c:f>'YoY FL Detail MH+CH'!$P$16:$P$32</c:f>
              <c:numCache>
                <c:formatCode>0.0%</c:formatCode>
                <c:ptCount val="17"/>
                <c:pt idx="0">
                  <c:v>0.50530785562632696</c:v>
                </c:pt>
                <c:pt idx="1">
                  <c:v>0.48901098901098899</c:v>
                </c:pt>
                <c:pt idx="2">
                  <c:v>0.48618998451213219</c:v>
                </c:pt>
                <c:pt idx="3">
                  <c:v>0.45454545454545453</c:v>
                </c:pt>
                <c:pt idx="4">
                  <c:v>0.3821451509312781</c:v>
                </c:pt>
                <c:pt idx="5">
                  <c:v>0.37624325092355781</c:v>
                </c:pt>
                <c:pt idx="6">
                  <c:v>0.37147040368123824</c:v>
                </c:pt>
                <c:pt idx="7">
                  <c:v>0.36451169188445665</c:v>
                </c:pt>
                <c:pt idx="8">
                  <c:v>0.34409480997139352</c:v>
                </c:pt>
                <c:pt idx="9">
                  <c:v>0.32583170254403132</c:v>
                </c:pt>
                <c:pt idx="10">
                  <c:v>0.260203605118147</c:v>
                </c:pt>
                <c:pt idx="11">
                  <c:v>0.23961661341853036</c:v>
                </c:pt>
                <c:pt idx="12">
                  <c:v>0.23623853211009174</c:v>
                </c:pt>
                <c:pt idx="13">
                  <c:v>0.23573200992555832</c:v>
                </c:pt>
                <c:pt idx="14">
                  <c:v>0.23443708609271524</c:v>
                </c:pt>
                <c:pt idx="15">
                  <c:v>0.22436134764901888</c:v>
                </c:pt>
                <c:pt idx="16">
                  <c:v>0.1853381517811048</c:v>
                </c:pt>
              </c:numCache>
            </c:numRef>
          </c:val>
          <c:extLst>
            <c:ext xmlns:c16="http://schemas.microsoft.com/office/drawing/2014/chart" uri="{C3380CC4-5D6E-409C-BE32-E72D297353CC}">
              <c16:uniqueId val="{00000000-4ECA-4867-AAE5-7E708C54AA78}"/>
            </c:ext>
          </c:extLst>
        </c:ser>
        <c:dLbls>
          <c:dLblPos val="outEnd"/>
          <c:showLegendKey val="0"/>
          <c:showVal val="1"/>
          <c:showCatName val="0"/>
          <c:showSerName val="0"/>
          <c:showPercent val="0"/>
          <c:showBubbleSize val="0"/>
        </c:dLbls>
        <c:gapWidth val="50"/>
        <c:axId val="239302832"/>
        <c:axId val="1532333456"/>
      </c:barChart>
      <c:catAx>
        <c:axId val="239302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1532333456"/>
        <c:crosses val="autoZero"/>
        <c:auto val="1"/>
        <c:lblAlgn val="ctr"/>
        <c:lblOffset val="100"/>
        <c:noMultiLvlLbl val="0"/>
      </c:catAx>
      <c:valAx>
        <c:axId val="1532333456"/>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23930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'YoY FL Detail Specialist'!$P$4</c:f>
              <c:strCache>
                <c:ptCount val="1"/>
                <c:pt idx="0">
                  <c:v>AW25 FL Uptake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'YoY FL Detail Specialist'!$M$5:$M$13</c:f>
              <c:strCache>
                <c:ptCount val="9"/>
                <c:pt idx="0">
                  <c:v>Medical and Dental</c:v>
                </c:pt>
                <c:pt idx="1">
                  <c:v>Nursing and Midwifery Registered</c:v>
                </c:pt>
                <c:pt idx="2">
                  <c:v>Add Prof Scientific and Technic</c:v>
                </c:pt>
                <c:pt idx="3">
                  <c:v>Allied Health Professionals</c:v>
                </c:pt>
                <c:pt idx="4">
                  <c:v>Healthcare Scientists</c:v>
                </c:pt>
                <c:pt idx="5">
                  <c:v>Additional Clinical Services</c:v>
                </c:pt>
                <c:pt idx="6">
                  <c:v>Administrative and Clerical</c:v>
                </c:pt>
                <c:pt idx="7">
                  <c:v>Estates and Ancillary</c:v>
                </c:pt>
                <c:pt idx="8">
                  <c:v>Students</c:v>
                </c:pt>
              </c:strCache>
            </c:strRef>
          </c:cat>
          <c:val>
            <c:numRef>
              <c:f>'YoY FL Detail Specialist'!$P$5:$P$13</c:f>
              <c:numCache>
                <c:formatCode>0.0%</c:formatCode>
                <c:ptCount val="9"/>
                <c:pt idx="0">
                  <c:v>0.5919101123595506</c:v>
                </c:pt>
                <c:pt idx="1">
                  <c:v>0.53857479387514728</c:v>
                </c:pt>
                <c:pt idx="2">
                  <c:v>0.53316953316953319</c:v>
                </c:pt>
                <c:pt idx="3">
                  <c:v>0.530238640078457</c:v>
                </c:pt>
                <c:pt idx="4">
                  <c:v>0.49557522123893805</c:v>
                </c:pt>
                <c:pt idx="5">
                  <c:v>0.43031123139377536</c:v>
                </c:pt>
                <c:pt idx="6">
                  <c:v>0.40310077519379844</c:v>
                </c:pt>
                <c:pt idx="7">
                  <c:v>0.31848184818481851</c:v>
                </c:pt>
                <c:pt idx="8">
                  <c:v>0.3</c:v>
                </c:pt>
              </c:numCache>
            </c:numRef>
          </c:val>
          <c:extLst>
            <c:ext xmlns:c16="http://schemas.microsoft.com/office/drawing/2014/chart" uri="{C3380CC4-5D6E-409C-BE32-E72D297353CC}">
              <c16:uniqueId val="{00000000-ED18-4BB7-8FC9-819DB6FB156E}"/>
            </c:ext>
          </c:extLst>
        </c:ser>
        <c:dLbls>
          <c:dLblPos val="outEnd"/>
          <c:showLegendKey val="0"/>
          <c:showVal val="1"/>
          <c:showCatName val="0"/>
          <c:showSerName val="0"/>
          <c:showPercent val="0"/>
          <c:showBubbleSize val="0"/>
        </c:dLbls>
        <c:gapWidth val="50"/>
        <c:axId val="239302832"/>
        <c:axId val="1532333456"/>
      </c:barChart>
      <c:catAx>
        <c:axId val="239302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1532333456"/>
        <c:crosses val="autoZero"/>
        <c:auto val="1"/>
        <c:lblAlgn val="ctr"/>
        <c:lblOffset val="100"/>
        <c:noMultiLvlLbl val="0"/>
      </c:catAx>
      <c:valAx>
        <c:axId val="1532333456"/>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23930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'YoY FL Detail Specialist'!$P$15</c:f>
              <c:strCache>
                <c:ptCount val="1"/>
                <c:pt idx="0">
                  <c:v>Uptake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'YoY FL Detail Specialist'!$M$16:$M$32</c:f>
              <c:strCache>
                <c:ptCount val="17"/>
                <c:pt idx="0">
                  <c:v>F: Mixed - White and Asian</c:v>
                </c:pt>
                <c:pt idx="1">
                  <c:v>A: White - British</c:v>
                </c:pt>
                <c:pt idx="2">
                  <c:v>B: White - Irish</c:v>
                </c:pt>
                <c:pt idx="3">
                  <c:v>R: Other ethnic groups - Chinese</c:v>
                </c:pt>
                <c:pt idx="4">
                  <c:v>L: Asian or Asian British - Any other Asian background</c:v>
                </c:pt>
                <c:pt idx="5">
                  <c:v>X: Unknown</c:v>
                </c:pt>
                <c:pt idx="6">
                  <c:v>C: White - Any other White background</c:v>
                </c:pt>
                <c:pt idx="7">
                  <c:v>H: Asian or Asian British - Indian</c:v>
                </c:pt>
                <c:pt idx="8">
                  <c:v>S: Other ethnic groups - Any other ethnic group</c:v>
                </c:pt>
                <c:pt idx="9">
                  <c:v>G: Mixed - Any other Mixed background</c:v>
                </c:pt>
                <c:pt idx="10">
                  <c:v>J: Asian or Asian British - Pakistani</c:v>
                </c:pt>
                <c:pt idx="11">
                  <c:v>D: Mixed - White and Black Caribbean</c:v>
                </c:pt>
                <c:pt idx="12">
                  <c:v>E: Mixed - White and Black African</c:v>
                </c:pt>
                <c:pt idx="13">
                  <c:v>P: Black or Black British - Any other Black background</c:v>
                </c:pt>
                <c:pt idx="14">
                  <c:v>N: Black or Black British - African</c:v>
                </c:pt>
                <c:pt idx="15">
                  <c:v>K: Asian or Asian British - Bangladeshi</c:v>
                </c:pt>
                <c:pt idx="16">
                  <c:v>M: Black or Black British - Caribbean</c:v>
                </c:pt>
              </c:strCache>
            </c:strRef>
          </c:cat>
          <c:val>
            <c:numRef>
              <c:f>'YoY FL Detail Specialist'!$P$16:$P$32</c:f>
              <c:numCache>
                <c:formatCode>0.0%</c:formatCode>
                <c:ptCount val="17"/>
                <c:pt idx="0">
                  <c:v>0.67441860465116277</c:v>
                </c:pt>
                <c:pt idx="1">
                  <c:v>0.58152405278842056</c:v>
                </c:pt>
                <c:pt idx="2">
                  <c:v>0.53721682847896435</c:v>
                </c:pt>
                <c:pt idx="3">
                  <c:v>0.51574803149606296</c:v>
                </c:pt>
                <c:pt idx="4">
                  <c:v>0.50266971777269265</c:v>
                </c:pt>
                <c:pt idx="5">
                  <c:v>0.47509225092250923</c:v>
                </c:pt>
                <c:pt idx="6">
                  <c:v>0.47257987601335238</c:v>
                </c:pt>
                <c:pt idx="7">
                  <c:v>0.45888594164456231</c:v>
                </c:pt>
                <c:pt idx="8">
                  <c:v>0.45744680851063829</c:v>
                </c:pt>
                <c:pt idx="9">
                  <c:v>0.41811846689895471</c:v>
                </c:pt>
                <c:pt idx="10">
                  <c:v>0.35496183206106868</c:v>
                </c:pt>
                <c:pt idx="11">
                  <c:v>0.34782608695652173</c:v>
                </c:pt>
                <c:pt idx="12">
                  <c:v>0.34545454545454546</c:v>
                </c:pt>
                <c:pt idx="13">
                  <c:v>0.32110091743119268</c:v>
                </c:pt>
                <c:pt idx="14">
                  <c:v>0.31764705882352939</c:v>
                </c:pt>
                <c:pt idx="15">
                  <c:v>0.30566037735849055</c:v>
                </c:pt>
                <c:pt idx="16">
                  <c:v>0.23745819397993312</c:v>
                </c:pt>
              </c:numCache>
            </c:numRef>
          </c:val>
          <c:extLst>
            <c:ext xmlns:c16="http://schemas.microsoft.com/office/drawing/2014/chart" uri="{C3380CC4-5D6E-409C-BE32-E72D297353CC}">
              <c16:uniqueId val="{00000000-08F6-48C0-B7AB-E214C2CBDB56}"/>
            </c:ext>
          </c:extLst>
        </c:ser>
        <c:dLbls>
          <c:dLblPos val="outEnd"/>
          <c:showLegendKey val="0"/>
          <c:showVal val="1"/>
          <c:showCatName val="0"/>
          <c:showSerName val="0"/>
          <c:showPercent val="0"/>
          <c:showBubbleSize val="0"/>
        </c:dLbls>
        <c:gapWidth val="50"/>
        <c:axId val="239302832"/>
        <c:axId val="1532333456"/>
      </c:barChart>
      <c:catAx>
        <c:axId val="239302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1532333456"/>
        <c:crosses val="autoZero"/>
        <c:auto val="1"/>
        <c:lblAlgn val="ctr"/>
        <c:lblOffset val="100"/>
        <c:noMultiLvlLbl val="0"/>
      </c:catAx>
      <c:valAx>
        <c:axId val="1532333456"/>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23930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NCL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575131233595813"/>
        </c:manualLayout>
      </c:layout>
      <c:lineChart>
        <c:grouping val="standard"/>
        <c:varyColors val="0"/>
        <c:ser>
          <c:idx val="0"/>
          <c:order val="0"/>
          <c:tx>
            <c:strRef>
              <c:f>'YoY FL Charts'!$E$7</c:f>
              <c:strCache>
                <c:ptCount val="1"/>
                <c:pt idx="0">
                  <c:v>NCL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Charts'!$E$8:$E$25</c:f>
              <c:numCache>
                <c:formatCode>0.0%</c:formatCode>
                <c:ptCount val="18"/>
                <c:pt idx="0">
                  <c:v>3.1176765985939069E-3</c:v>
                </c:pt>
                <c:pt idx="1">
                  <c:v>2.6910946966553242E-2</c:v>
                </c:pt>
                <c:pt idx="2">
                  <c:v>7.7765789692090637E-2</c:v>
                </c:pt>
                <c:pt idx="3">
                  <c:v>0.12521786040335298</c:v>
                </c:pt>
                <c:pt idx="4">
                  <c:v>0.1670263092372811</c:v>
                </c:pt>
                <c:pt idx="5">
                  <c:v>0.19603286579799153</c:v>
                </c:pt>
                <c:pt idx="6">
                  <c:v>0.22207237115113287</c:v>
                </c:pt>
                <c:pt idx="7">
                  <c:v>0.2442111378537638</c:v>
                </c:pt>
                <c:pt idx="8">
                  <c:v>0.2617852103909038</c:v>
                </c:pt>
                <c:pt idx="9">
                  <c:v>0.27649597476969046</c:v>
                </c:pt>
                <c:pt idx="10">
                  <c:v>0.28819819072122166</c:v>
                </c:pt>
                <c:pt idx="11">
                  <c:v>0.29971366918416464</c:v>
                </c:pt>
                <c:pt idx="12">
                  <c:v>0.30855257697734251</c:v>
                </c:pt>
                <c:pt idx="13">
                  <c:v>0.31044944760629395</c:v>
                </c:pt>
                <c:pt idx="14">
                  <c:v>0.31186150886941655</c:v>
                </c:pt>
                <c:pt idx="15">
                  <c:v>0.31831687311683965</c:v>
                </c:pt>
                <c:pt idx="16">
                  <c:v>0.32347082745456057</c:v>
                </c:pt>
                <c:pt idx="17">
                  <c:v>0.32645631067961167</c:v>
                </c:pt>
              </c:numCache>
            </c:numRef>
          </c:val>
          <c:smooth val="1"/>
          <c:extLst>
            <c:ext xmlns:c16="http://schemas.microsoft.com/office/drawing/2014/chart" uri="{C3380CC4-5D6E-409C-BE32-E72D297353CC}">
              <c16:uniqueId val="{00000000-7EC4-4F46-B45D-3D06755E5C89}"/>
            </c:ext>
          </c:extLst>
        </c:ser>
        <c:ser>
          <c:idx val="1"/>
          <c:order val="1"/>
          <c:tx>
            <c:strRef>
              <c:f>'YoY FL Charts'!$F$7</c:f>
              <c:strCache>
                <c:ptCount val="1"/>
                <c:pt idx="0">
                  <c:v>NCL AW 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Charts'!$F$8:$F$25</c:f>
              <c:numCache>
                <c:formatCode>0.0%</c:formatCode>
                <c:ptCount val="18"/>
                <c:pt idx="0">
                  <c:v>1.4815199875240423E-3</c:v>
                </c:pt>
                <c:pt idx="1">
                  <c:v>3.9941073948045483E-2</c:v>
                </c:pt>
                <c:pt idx="2">
                  <c:v>9.7103494065897591E-2</c:v>
                </c:pt>
                <c:pt idx="3">
                  <c:v>0.15285500871441612</c:v>
                </c:pt>
                <c:pt idx="4">
                  <c:v>0.19929039754336458</c:v>
                </c:pt>
                <c:pt idx="5">
                  <c:v>0.23414806207984065</c:v>
                </c:pt>
                <c:pt idx="6">
                  <c:v>0.26707610590090464</c:v>
                </c:pt>
                <c:pt idx="7">
                  <c:v>0.29423603618557559</c:v>
                </c:pt>
                <c:pt idx="8">
                  <c:v>0.31598057930118684</c:v>
                </c:pt>
                <c:pt idx="9">
                  <c:v>0.33243422690679725</c:v>
                </c:pt>
                <c:pt idx="10">
                  <c:v>0.34809942733836835</c:v>
                </c:pt>
                <c:pt idx="11">
                  <c:v>0.36671093036766539</c:v>
                </c:pt>
                <c:pt idx="12">
                  <c:v>0.38167067806456967</c:v>
                </c:pt>
                <c:pt idx="13">
                  <c:v>0.38422275707527598</c:v>
                </c:pt>
                <c:pt idx="14">
                  <c:v>0.38648980802644406</c:v>
                </c:pt>
                <c:pt idx="15">
                  <c:v>0.39117354137272803</c:v>
                </c:pt>
                <c:pt idx="16">
                  <c:v>0.39397460370155202</c:v>
                </c:pt>
                <c:pt idx="17">
                  <c:v>0.3958212299775915</c:v>
                </c:pt>
              </c:numCache>
            </c:numRef>
          </c:val>
          <c:smooth val="1"/>
          <c:extLst>
            <c:ext xmlns:c16="http://schemas.microsoft.com/office/drawing/2014/chart" uri="{C3380CC4-5D6E-409C-BE32-E72D297353CC}">
              <c16:uniqueId val="{00000001-7EC4-4F46-B45D-3D06755E5C89}"/>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6712483018768385"/>
          <c:y val="0.65798556430446187"/>
          <c:w val="0.20695636977538609"/>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NEL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575131233595813"/>
        </c:manualLayout>
      </c:layout>
      <c:lineChart>
        <c:grouping val="standard"/>
        <c:varyColors val="0"/>
        <c:ser>
          <c:idx val="0"/>
          <c:order val="0"/>
          <c:tx>
            <c:strRef>
              <c:f>'YoY FL Charts'!$G$7</c:f>
              <c:strCache>
                <c:ptCount val="1"/>
                <c:pt idx="0">
                  <c:v>NEL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Charts'!$G$8:$G$25</c:f>
              <c:numCache>
                <c:formatCode>0.0%</c:formatCode>
                <c:ptCount val="18"/>
                <c:pt idx="0">
                  <c:v>9.7611722260342194E-3</c:v>
                </c:pt>
                <c:pt idx="1">
                  <c:v>3.1607605303348899E-2</c:v>
                </c:pt>
                <c:pt idx="2">
                  <c:v>7.5632484118727722E-2</c:v>
                </c:pt>
                <c:pt idx="3">
                  <c:v>0.11587241860156268</c:v>
                </c:pt>
                <c:pt idx="4">
                  <c:v>0.14451404413554969</c:v>
                </c:pt>
                <c:pt idx="5">
                  <c:v>0.17335487726598642</c:v>
                </c:pt>
                <c:pt idx="6">
                  <c:v>0.19920759644967795</c:v>
                </c:pt>
                <c:pt idx="7">
                  <c:v>0.21868567254697979</c:v>
                </c:pt>
                <c:pt idx="8">
                  <c:v>0.2375882600323159</c:v>
                </c:pt>
                <c:pt idx="9">
                  <c:v>0.25133358418734369</c:v>
                </c:pt>
                <c:pt idx="10">
                  <c:v>0.26116115894552777</c:v>
                </c:pt>
                <c:pt idx="11">
                  <c:v>0.2698598906571637</c:v>
                </c:pt>
                <c:pt idx="12">
                  <c:v>0.27811593882113372</c:v>
                </c:pt>
                <c:pt idx="13">
                  <c:v>0.27904557427123222</c:v>
                </c:pt>
                <c:pt idx="14">
                  <c:v>0.28030722238208017</c:v>
                </c:pt>
                <c:pt idx="15">
                  <c:v>0.28555302242192171</c:v>
                </c:pt>
                <c:pt idx="16">
                  <c:v>0.28880674649726645</c:v>
                </c:pt>
                <c:pt idx="17">
                  <c:v>0.29133004271896235</c:v>
                </c:pt>
              </c:numCache>
            </c:numRef>
          </c:val>
          <c:smooth val="1"/>
          <c:extLst>
            <c:ext xmlns:c16="http://schemas.microsoft.com/office/drawing/2014/chart" uri="{C3380CC4-5D6E-409C-BE32-E72D297353CC}">
              <c16:uniqueId val="{00000000-488C-469B-AC76-EBD5758889CA}"/>
            </c:ext>
          </c:extLst>
        </c:ser>
        <c:ser>
          <c:idx val="1"/>
          <c:order val="1"/>
          <c:tx>
            <c:strRef>
              <c:f>'YoY FL Charts'!$H$7</c:f>
              <c:strCache>
                <c:ptCount val="1"/>
                <c:pt idx="0">
                  <c:v>NEL AW 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Charts'!$H$8:$H$25</c:f>
              <c:numCache>
                <c:formatCode>0.0%</c:formatCode>
                <c:ptCount val="18"/>
                <c:pt idx="0">
                  <c:v>1.6379291263640186E-3</c:v>
                </c:pt>
                <c:pt idx="1">
                  <c:v>3.1607605303348899E-2</c:v>
                </c:pt>
                <c:pt idx="2">
                  <c:v>8.2759689236149542E-2</c:v>
                </c:pt>
                <c:pt idx="3">
                  <c:v>0.12525730981208083</c:v>
                </c:pt>
                <c:pt idx="4">
                  <c:v>0.16038424931937403</c:v>
                </c:pt>
                <c:pt idx="5">
                  <c:v>0.19077447486664159</c:v>
                </c:pt>
                <c:pt idx="6">
                  <c:v>0.22081055357577636</c:v>
                </c:pt>
                <c:pt idx="7">
                  <c:v>0.24721662719405033</c:v>
                </c:pt>
                <c:pt idx="8">
                  <c:v>0.26888598685229864</c:v>
                </c:pt>
                <c:pt idx="9">
                  <c:v>0.2901347971402643</c:v>
                </c:pt>
                <c:pt idx="10">
                  <c:v>0.30357024281192591</c:v>
                </c:pt>
                <c:pt idx="11">
                  <c:v>0.3205914252196817</c:v>
                </c:pt>
                <c:pt idx="12">
                  <c:v>0.33604108103322339</c:v>
                </c:pt>
                <c:pt idx="13">
                  <c:v>0.33940547599548465</c:v>
                </c:pt>
                <c:pt idx="14">
                  <c:v>0.34106553929923195</c:v>
                </c:pt>
                <c:pt idx="15">
                  <c:v>0.34535956971159165</c:v>
                </c:pt>
                <c:pt idx="16">
                  <c:v>0.34839195201310341</c:v>
                </c:pt>
                <c:pt idx="17">
                  <c:v>0.34033481874021437</c:v>
                </c:pt>
              </c:numCache>
            </c:numRef>
          </c:val>
          <c:smooth val="1"/>
          <c:extLst>
            <c:ext xmlns:c16="http://schemas.microsoft.com/office/drawing/2014/chart" uri="{C3380CC4-5D6E-409C-BE32-E72D297353CC}">
              <c16:uniqueId val="{00000001-488C-469B-AC76-EBD5758889CA}"/>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6712483018768385"/>
          <c:y val="0.65798556430446187"/>
          <c:w val="0.20695636977538609"/>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NWL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112168270632837"/>
        </c:manualLayout>
      </c:layout>
      <c:lineChart>
        <c:grouping val="standard"/>
        <c:varyColors val="0"/>
        <c:ser>
          <c:idx val="0"/>
          <c:order val="0"/>
          <c:tx>
            <c:strRef>
              <c:f>'YoY FL Charts'!$I$7</c:f>
              <c:strCache>
                <c:ptCount val="1"/>
                <c:pt idx="0">
                  <c:v>NWL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Charts'!$I$8:$I$25</c:f>
              <c:numCache>
                <c:formatCode>0.0%</c:formatCode>
                <c:ptCount val="18"/>
                <c:pt idx="0">
                  <c:v>1.3947390443248069E-2</c:v>
                </c:pt>
                <c:pt idx="1">
                  <c:v>4.0837959217830344E-2</c:v>
                </c:pt>
                <c:pt idx="2">
                  <c:v>9.9165946051493772E-2</c:v>
                </c:pt>
                <c:pt idx="3">
                  <c:v>0.14508075539066639</c:v>
                </c:pt>
                <c:pt idx="4">
                  <c:v>0.18047923233563001</c:v>
                </c:pt>
                <c:pt idx="5">
                  <c:v>0.209322435772267</c:v>
                </c:pt>
                <c:pt idx="6">
                  <c:v>0.23350721080085915</c:v>
                </c:pt>
                <c:pt idx="7">
                  <c:v>0.25088565929314627</c:v>
                </c:pt>
                <c:pt idx="8">
                  <c:v>0.26650673658958407</c:v>
                </c:pt>
                <c:pt idx="9">
                  <c:v>0.27713464810733912</c:v>
                </c:pt>
                <c:pt idx="10">
                  <c:v>0.28848782392814304</c:v>
                </c:pt>
                <c:pt idx="11">
                  <c:v>0.30165416050656924</c:v>
                </c:pt>
                <c:pt idx="12">
                  <c:v>0.31339786325978408</c:v>
                </c:pt>
                <c:pt idx="13">
                  <c:v>0.31434628580992496</c:v>
                </c:pt>
                <c:pt idx="14">
                  <c:v>0.31646628915729869</c:v>
                </c:pt>
                <c:pt idx="15">
                  <c:v>0.32062261150938659</c:v>
                </c:pt>
                <c:pt idx="16">
                  <c:v>0.32310524700828475</c:v>
                </c:pt>
                <c:pt idx="17">
                  <c:v>0.3264526207146643</c:v>
                </c:pt>
              </c:numCache>
            </c:numRef>
          </c:val>
          <c:smooth val="1"/>
          <c:extLst>
            <c:ext xmlns:c16="http://schemas.microsoft.com/office/drawing/2014/chart" uri="{C3380CC4-5D6E-409C-BE32-E72D297353CC}">
              <c16:uniqueId val="{00000000-9592-4E21-9A87-9F357EF27897}"/>
            </c:ext>
          </c:extLst>
        </c:ser>
        <c:ser>
          <c:idx val="1"/>
          <c:order val="1"/>
          <c:tx>
            <c:strRef>
              <c:f>'YoY FL Charts'!$J$7</c:f>
              <c:strCache>
                <c:ptCount val="1"/>
                <c:pt idx="0">
                  <c:v>NWL AW 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Charts'!$J$8:$J$25</c:f>
              <c:numCache>
                <c:formatCode>0.0%</c:formatCode>
                <c:ptCount val="18"/>
                <c:pt idx="0">
                  <c:v>1.3706435377164383E-2</c:v>
                </c:pt>
                <c:pt idx="1">
                  <c:v>4.0586906189851876E-2</c:v>
                </c:pt>
                <c:pt idx="2">
                  <c:v>0.10555385087450138</c:v>
                </c:pt>
                <c:pt idx="3">
                  <c:v>0.16312867862422942</c:v>
                </c:pt>
                <c:pt idx="4">
                  <c:v>0.20971296270467796</c:v>
                </c:pt>
                <c:pt idx="5">
                  <c:v>0.24201511897124048</c:v>
                </c:pt>
                <c:pt idx="6">
                  <c:v>0.27462411782755447</c:v>
                </c:pt>
                <c:pt idx="7">
                  <c:v>0.30282574130380208</c:v>
                </c:pt>
                <c:pt idx="8">
                  <c:v>0.32254735139055485</c:v>
                </c:pt>
                <c:pt idx="9">
                  <c:v>0.33998158944461493</c:v>
                </c:pt>
                <c:pt idx="10">
                  <c:v>0.35264581996708416</c:v>
                </c:pt>
                <c:pt idx="11">
                  <c:v>0.36902005634745738</c:v>
                </c:pt>
                <c:pt idx="12">
                  <c:v>0.38349744762754889</c:v>
                </c:pt>
                <c:pt idx="13">
                  <c:v>0.38572903009846859</c:v>
                </c:pt>
                <c:pt idx="14">
                  <c:v>0.38787692822672876</c:v>
                </c:pt>
                <c:pt idx="15">
                  <c:v>0.39024798460208093</c:v>
                </c:pt>
                <c:pt idx="16">
                  <c:v>0.39231219838768167</c:v>
                </c:pt>
                <c:pt idx="17">
                  <c:v>0.39415325392619038</c:v>
                </c:pt>
              </c:numCache>
            </c:numRef>
          </c:val>
          <c:smooth val="1"/>
          <c:extLst>
            <c:ext xmlns:c16="http://schemas.microsoft.com/office/drawing/2014/chart" uri="{C3380CC4-5D6E-409C-BE32-E72D297353CC}">
              <c16:uniqueId val="{00000001-9592-4E21-9A87-9F357EF27897}"/>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6712483018768385"/>
          <c:y val="0.65798556430446187"/>
          <c:w val="0.20695636977538609"/>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SEL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575131233595813"/>
        </c:manualLayout>
      </c:layout>
      <c:lineChart>
        <c:grouping val="standard"/>
        <c:varyColors val="0"/>
        <c:ser>
          <c:idx val="0"/>
          <c:order val="0"/>
          <c:tx>
            <c:strRef>
              <c:f>'YoY FL Charts'!$K$7</c:f>
              <c:strCache>
                <c:ptCount val="1"/>
                <c:pt idx="0">
                  <c:v>SEL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Charts'!$K$8:$K$25</c:f>
              <c:numCache>
                <c:formatCode>0.0%</c:formatCode>
                <c:ptCount val="18"/>
                <c:pt idx="0">
                  <c:v>2.5114216249432259E-3</c:v>
                </c:pt>
                <c:pt idx="1">
                  <c:v>2.1269762845849801E-2</c:v>
                </c:pt>
                <c:pt idx="2">
                  <c:v>7.9446640316205533E-2</c:v>
                </c:pt>
                <c:pt idx="3">
                  <c:v>0.13179347826086957</c:v>
                </c:pt>
                <c:pt idx="4">
                  <c:v>0.1671689723320158</c:v>
                </c:pt>
                <c:pt idx="5">
                  <c:v>0.19515810276679843</c:v>
                </c:pt>
                <c:pt idx="6">
                  <c:v>0.2208498023715415</c:v>
                </c:pt>
                <c:pt idx="7">
                  <c:v>0.2458498023715415</c:v>
                </c:pt>
                <c:pt idx="8">
                  <c:v>0.26363636363636361</c:v>
                </c:pt>
                <c:pt idx="9">
                  <c:v>0.27840909090909088</c:v>
                </c:pt>
                <c:pt idx="10">
                  <c:v>0.28959980237154148</c:v>
                </c:pt>
                <c:pt idx="11">
                  <c:v>0.3021986166007905</c:v>
                </c:pt>
                <c:pt idx="12">
                  <c:v>0.31074604743083006</c:v>
                </c:pt>
                <c:pt idx="13">
                  <c:v>0.31269762845849802</c:v>
                </c:pt>
                <c:pt idx="14">
                  <c:v>0.31568675889328063</c:v>
                </c:pt>
                <c:pt idx="15">
                  <c:v>0.3240118577075099</c:v>
                </c:pt>
                <c:pt idx="16">
                  <c:v>0.32979249011857709</c:v>
                </c:pt>
                <c:pt idx="17">
                  <c:v>0.33357213438735178</c:v>
                </c:pt>
              </c:numCache>
            </c:numRef>
          </c:val>
          <c:smooth val="1"/>
          <c:extLst>
            <c:ext xmlns:c16="http://schemas.microsoft.com/office/drawing/2014/chart" uri="{C3380CC4-5D6E-409C-BE32-E72D297353CC}">
              <c16:uniqueId val="{00000000-722E-4198-8D8D-B9E1AEDE03D7}"/>
            </c:ext>
          </c:extLst>
        </c:ser>
        <c:ser>
          <c:idx val="1"/>
          <c:order val="1"/>
          <c:tx>
            <c:strRef>
              <c:f>'YoY FL Charts'!$L$7</c:f>
              <c:strCache>
                <c:ptCount val="1"/>
                <c:pt idx="0">
                  <c:v>SEL AW 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Charts'!$L$8:$L$25</c:f>
              <c:numCache>
                <c:formatCode>0.0%</c:formatCode>
                <c:ptCount val="18"/>
                <c:pt idx="0">
                  <c:v>1.0722239023451461E-3</c:v>
                </c:pt>
                <c:pt idx="1">
                  <c:v>5.4866600790513836E-2</c:v>
                </c:pt>
                <c:pt idx="2">
                  <c:v>0.12257905138339921</c:v>
                </c:pt>
                <c:pt idx="3">
                  <c:v>0.1821393280632411</c:v>
                </c:pt>
                <c:pt idx="4">
                  <c:v>0.22223320158102766</c:v>
                </c:pt>
                <c:pt idx="5">
                  <c:v>0.25471837944664033</c:v>
                </c:pt>
                <c:pt idx="6">
                  <c:v>0.28253458498023715</c:v>
                </c:pt>
                <c:pt idx="7">
                  <c:v>0.30948616600790513</c:v>
                </c:pt>
                <c:pt idx="8">
                  <c:v>0.33537549407114625</c:v>
                </c:pt>
                <c:pt idx="9">
                  <c:v>0.35968379446640314</c:v>
                </c:pt>
                <c:pt idx="10">
                  <c:v>0.37159090909090908</c:v>
                </c:pt>
                <c:pt idx="11">
                  <c:v>0.3895009881422925</c:v>
                </c:pt>
                <c:pt idx="12">
                  <c:v>0.40501482213438733</c:v>
                </c:pt>
                <c:pt idx="13">
                  <c:v>0.40783102766798418</c:v>
                </c:pt>
                <c:pt idx="14">
                  <c:v>0.40963438735177865</c:v>
                </c:pt>
                <c:pt idx="15">
                  <c:v>0.41240118577075097</c:v>
                </c:pt>
                <c:pt idx="16">
                  <c:v>0.41588438735177868</c:v>
                </c:pt>
                <c:pt idx="17">
                  <c:v>0.41746541501976286</c:v>
                </c:pt>
              </c:numCache>
            </c:numRef>
          </c:val>
          <c:smooth val="1"/>
          <c:extLst>
            <c:ext xmlns:c16="http://schemas.microsoft.com/office/drawing/2014/chart" uri="{C3380CC4-5D6E-409C-BE32-E72D297353CC}">
              <c16:uniqueId val="{00000001-722E-4198-8D8D-B9E1AEDE03D7}"/>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6712483018768385"/>
          <c:y val="0.65798556430446187"/>
          <c:w val="0.20695636977538609"/>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SWL</a:t>
            </a:r>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575131233595813"/>
        </c:manualLayout>
      </c:layout>
      <c:lineChart>
        <c:grouping val="standard"/>
        <c:varyColors val="0"/>
        <c:ser>
          <c:idx val="0"/>
          <c:order val="0"/>
          <c:tx>
            <c:strRef>
              <c:f>'YoY FL Charts'!$M$7</c:f>
              <c:strCache>
                <c:ptCount val="1"/>
                <c:pt idx="0">
                  <c:v>SWL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Charts'!$M$8:$M$25</c:f>
              <c:numCache>
                <c:formatCode>0.0%</c:formatCode>
                <c:ptCount val="18"/>
                <c:pt idx="0">
                  <c:v>2.439213256930463E-3</c:v>
                </c:pt>
                <c:pt idx="1">
                  <c:v>4.0924577977388882E-2</c:v>
                </c:pt>
                <c:pt idx="2">
                  <c:v>0.11259098652625057</c:v>
                </c:pt>
                <c:pt idx="3">
                  <c:v>0.16249806411646275</c:v>
                </c:pt>
                <c:pt idx="4">
                  <c:v>0.20462288988694441</c:v>
                </c:pt>
                <c:pt idx="5">
                  <c:v>0.23981725259408393</c:v>
                </c:pt>
                <c:pt idx="6">
                  <c:v>0.26792628155490167</c:v>
                </c:pt>
                <c:pt idx="7">
                  <c:v>0.29433173300294252</c:v>
                </c:pt>
                <c:pt idx="8">
                  <c:v>0.31427133343658048</c:v>
                </c:pt>
                <c:pt idx="9">
                  <c:v>0.33030044912498063</c:v>
                </c:pt>
                <c:pt idx="10">
                  <c:v>0.3455939290692272</c:v>
                </c:pt>
                <c:pt idx="11">
                  <c:v>0.35608641784110268</c:v>
                </c:pt>
                <c:pt idx="12">
                  <c:v>0.36866966083320429</c:v>
                </c:pt>
                <c:pt idx="13">
                  <c:v>0.36067211625794732</c:v>
                </c:pt>
                <c:pt idx="14">
                  <c:v>0.37079913272417531</c:v>
                </c:pt>
                <c:pt idx="15">
                  <c:v>0.37881369056837538</c:v>
                </c:pt>
                <c:pt idx="16">
                  <c:v>0.38504723555830883</c:v>
                </c:pt>
                <c:pt idx="17">
                  <c:v>0.3890738733157813</c:v>
                </c:pt>
              </c:numCache>
            </c:numRef>
          </c:val>
          <c:smooth val="1"/>
          <c:extLst>
            <c:ext xmlns:c16="http://schemas.microsoft.com/office/drawing/2014/chart" uri="{C3380CC4-5D6E-409C-BE32-E72D297353CC}">
              <c16:uniqueId val="{00000000-5EC5-448F-8596-431CCD863080}"/>
            </c:ext>
          </c:extLst>
        </c:ser>
        <c:ser>
          <c:idx val="1"/>
          <c:order val="1"/>
          <c:tx>
            <c:strRef>
              <c:f>'YoY FL Charts'!$N$7</c:f>
              <c:strCache>
                <c:ptCount val="1"/>
                <c:pt idx="0">
                  <c:v>SWL AW 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Charts'!$N$8:$N$25</c:f>
              <c:numCache>
                <c:formatCode>0.0%</c:formatCode>
                <c:ptCount val="18"/>
                <c:pt idx="0">
                  <c:v>9.11854103343465E-4</c:v>
                </c:pt>
                <c:pt idx="1">
                  <c:v>3.9027412110887408E-2</c:v>
                </c:pt>
                <c:pt idx="2">
                  <c:v>0.10186619172990553</c:v>
                </c:pt>
                <c:pt idx="3">
                  <c:v>0.15630323679727429</c:v>
                </c:pt>
                <c:pt idx="4">
                  <c:v>0.19730525011615302</c:v>
                </c:pt>
                <c:pt idx="5">
                  <c:v>0.23292550720148675</c:v>
                </c:pt>
                <c:pt idx="6">
                  <c:v>0.26769397553043212</c:v>
                </c:pt>
                <c:pt idx="7">
                  <c:v>0.30253987920086728</c:v>
                </c:pt>
                <c:pt idx="8">
                  <c:v>0.32983583707604153</c:v>
                </c:pt>
                <c:pt idx="9">
                  <c:v>0.35991946724485058</c:v>
                </c:pt>
                <c:pt idx="10">
                  <c:v>0.37645191265293482</c:v>
                </c:pt>
                <c:pt idx="11">
                  <c:v>0.39600433637912341</c:v>
                </c:pt>
                <c:pt idx="12">
                  <c:v>0.41013628620102216</c:v>
                </c:pt>
                <c:pt idx="13">
                  <c:v>0.41199473439677869</c:v>
                </c:pt>
                <c:pt idx="14">
                  <c:v>0.41396933560477001</c:v>
                </c:pt>
                <c:pt idx="15">
                  <c:v>0.41780238500851791</c:v>
                </c:pt>
                <c:pt idx="16">
                  <c:v>0.42093851633885704</c:v>
                </c:pt>
                <c:pt idx="17">
                  <c:v>0.4237261886324919</c:v>
                </c:pt>
              </c:numCache>
            </c:numRef>
          </c:val>
          <c:smooth val="1"/>
          <c:extLst>
            <c:ext xmlns:c16="http://schemas.microsoft.com/office/drawing/2014/chart" uri="{C3380CC4-5D6E-409C-BE32-E72D297353CC}">
              <c16:uniqueId val="{00000001-5EC5-448F-8596-431CCD863080}"/>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6712483018768385"/>
          <c:y val="0.67187445319335082"/>
          <c:w val="0.20695636977538609"/>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'YoY FL Charts'!$AL$3:$AM$3</c:f>
          <c:strCache>
            <c:ptCount val="2"/>
            <c:pt idx="0">
              <c:v>BHR</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Aptos Narrow" panose="020B0004020202020204" pitchFamily="34" charset="0"/>
              <a:ea typeface="+mn-ea"/>
              <a:cs typeface="+mn-cs"/>
            </a:defRPr>
          </a:pPr>
          <a:endParaRPr lang="en-US"/>
        </a:p>
      </c:txPr>
    </c:title>
    <c:autoTitleDeleted val="0"/>
    <c:plotArea>
      <c:layout>
        <c:manualLayout>
          <c:layoutTarget val="inner"/>
          <c:xMode val="edge"/>
          <c:yMode val="edge"/>
          <c:x val="6.9927887468840266E-2"/>
          <c:y val="0.11663203557888598"/>
          <c:w val="0.90704028673551484"/>
          <c:h val="0.72112168270632837"/>
        </c:manualLayout>
      </c:layout>
      <c:lineChart>
        <c:grouping val="standard"/>
        <c:varyColors val="0"/>
        <c:ser>
          <c:idx val="0"/>
          <c:order val="0"/>
          <c:tx>
            <c:strRef>
              <c:f>'YoY FL Charts'!$O$7</c:f>
              <c:strCache>
                <c:ptCount val="1"/>
                <c:pt idx="0">
                  <c:v>BHR AW24</c:v>
                </c:pt>
              </c:strCache>
            </c:strRef>
          </c:tx>
          <c:spPr>
            <a:ln w="28575" cap="rnd">
              <a:solidFill>
                <a:schemeClr val="tx2">
                  <a:lumMod val="20000"/>
                  <a:lumOff val="80000"/>
                </a:schemeClr>
              </a:solidFill>
              <a:prstDash val="sysDot"/>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Charts'!$O$8:$O$25</c:f>
              <c:numCache>
                <c:formatCode>0.0%</c:formatCode>
                <c:ptCount val="18"/>
                <c:pt idx="0">
                  <c:v>4.1251983268426363E-2</c:v>
                </c:pt>
                <c:pt idx="1">
                  <c:v>8.1782778018173949E-2</c:v>
                </c:pt>
                <c:pt idx="2">
                  <c:v>0.14553584306937833</c:v>
                </c:pt>
                <c:pt idx="3">
                  <c:v>0.19111495744987739</c:v>
                </c:pt>
                <c:pt idx="4">
                  <c:v>0.22169335064185777</c:v>
                </c:pt>
                <c:pt idx="5">
                  <c:v>0.25155055531515941</c:v>
                </c:pt>
                <c:pt idx="6">
                  <c:v>0.27924419443242465</c:v>
                </c:pt>
                <c:pt idx="7">
                  <c:v>0.29943747295543055</c:v>
                </c:pt>
                <c:pt idx="8">
                  <c:v>0.32323669407183037</c:v>
                </c:pt>
                <c:pt idx="9">
                  <c:v>0.33881436607529208</c:v>
                </c:pt>
                <c:pt idx="10">
                  <c:v>0.35150728400403863</c:v>
                </c:pt>
                <c:pt idx="11">
                  <c:v>0.36405596422904946</c:v>
                </c:pt>
                <c:pt idx="12">
                  <c:v>0.37501802971296699</c:v>
                </c:pt>
                <c:pt idx="13">
                  <c:v>0.3753065051204385</c:v>
                </c:pt>
                <c:pt idx="14">
                  <c:v>0.37631616904658877</c:v>
                </c:pt>
                <c:pt idx="15">
                  <c:v>0.38756670993797776</c:v>
                </c:pt>
                <c:pt idx="16">
                  <c:v>0.39434588201355836</c:v>
                </c:pt>
                <c:pt idx="17">
                  <c:v>0.39924996394057405</c:v>
                </c:pt>
              </c:numCache>
            </c:numRef>
          </c:val>
          <c:smooth val="1"/>
          <c:extLst>
            <c:ext xmlns:c16="http://schemas.microsoft.com/office/drawing/2014/chart" uri="{C3380CC4-5D6E-409C-BE32-E72D297353CC}">
              <c16:uniqueId val="{00000000-6570-42A4-8E4D-15FEE3F2D4C3}"/>
            </c:ext>
          </c:extLst>
        </c:ser>
        <c:ser>
          <c:idx val="1"/>
          <c:order val="1"/>
          <c:tx>
            <c:strRef>
              <c:f>'YoY FL Charts'!$P$7</c:f>
              <c:strCache>
                <c:ptCount val="1"/>
                <c:pt idx="0">
                  <c:v>BHR AW25</c:v>
                </c:pt>
              </c:strCache>
            </c:strRef>
          </c:tx>
          <c:spPr>
            <a:ln w="28575" cap="rnd">
              <a:solidFill>
                <a:schemeClr val="tx2"/>
              </a:solidFill>
              <a:round/>
            </a:ln>
            <a:effectLst/>
          </c:spPr>
          <c:marker>
            <c:symbol val="none"/>
          </c:marker>
          <c:cat>
            <c:numRef>
              <c:f>'YoY FL Charts'!$B$8:$B$25</c:f>
              <c:numCache>
                <c:formatCode>General</c:formatCode>
                <c:ptCount val="18"/>
                <c:pt idx="0">
                  <c:v>39</c:v>
                </c:pt>
                <c:pt idx="1">
                  <c:v>40</c:v>
                </c:pt>
                <c:pt idx="2">
                  <c:v>41</c:v>
                </c:pt>
                <c:pt idx="3">
                  <c:v>42</c:v>
                </c:pt>
                <c:pt idx="4">
                  <c:v>43</c:v>
                </c:pt>
                <c:pt idx="5">
                  <c:v>44</c:v>
                </c:pt>
                <c:pt idx="6">
                  <c:v>45</c:v>
                </c:pt>
                <c:pt idx="7">
                  <c:v>46</c:v>
                </c:pt>
                <c:pt idx="8">
                  <c:v>47</c:v>
                </c:pt>
                <c:pt idx="9">
                  <c:v>48</c:v>
                </c:pt>
                <c:pt idx="10">
                  <c:v>49</c:v>
                </c:pt>
                <c:pt idx="11">
                  <c:v>50</c:v>
                </c:pt>
                <c:pt idx="12">
                  <c:v>51</c:v>
                </c:pt>
                <c:pt idx="13">
                  <c:v>52</c:v>
                </c:pt>
                <c:pt idx="14">
                  <c:v>1</c:v>
                </c:pt>
                <c:pt idx="15">
                  <c:v>2</c:v>
                </c:pt>
                <c:pt idx="16">
                  <c:v>3</c:v>
                </c:pt>
                <c:pt idx="17">
                  <c:v>4</c:v>
                </c:pt>
              </c:numCache>
            </c:numRef>
          </c:cat>
          <c:val>
            <c:numRef>
              <c:f>'YoY FL Charts'!$P$8:$P$25</c:f>
              <c:numCache>
                <c:formatCode>0.0%</c:formatCode>
                <c:ptCount val="18"/>
                <c:pt idx="0">
                  <c:v>8.6542622241453913E-4</c:v>
                </c:pt>
                <c:pt idx="1">
                  <c:v>2.8847540747151304E-2</c:v>
                </c:pt>
                <c:pt idx="2">
                  <c:v>7.8465310832251556E-2</c:v>
                </c:pt>
                <c:pt idx="3">
                  <c:v>0.11625558921101976</c:v>
                </c:pt>
                <c:pt idx="4">
                  <c:v>0.14928602336650801</c:v>
                </c:pt>
                <c:pt idx="5">
                  <c:v>0.17986441655848839</c:v>
                </c:pt>
                <c:pt idx="6">
                  <c:v>0.21332756382518389</c:v>
                </c:pt>
                <c:pt idx="7">
                  <c:v>0.23539593249675464</c:v>
                </c:pt>
                <c:pt idx="8">
                  <c:v>0.25977210442809751</c:v>
                </c:pt>
                <c:pt idx="9">
                  <c:v>0.28530217798932639</c:v>
                </c:pt>
                <c:pt idx="10">
                  <c:v>0.30679359584595411</c:v>
                </c:pt>
                <c:pt idx="11">
                  <c:v>0.33016010385114669</c:v>
                </c:pt>
                <c:pt idx="12">
                  <c:v>0.35208423481898166</c:v>
                </c:pt>
                <c:pt idx="13">
                  <c:v>0.35641136593105438</c:v>
                </c:pt>
                <c:pt idx="14">
                  <c:v>0.35799798067214772</c:v>
                </c:pt>
                <c:pt idx="15">
                  <c:v>0.36477715274772826</c:v>
                </c:pt>
                <c:pt idx="16">
                  <c:v>0.3719890379345161</c:v>
                </c:pt>
                <c:pt idx="17">
                  <c:v>0.37689311986153179</c:v>
                </c:pt>
              </c:numCache>
            </c:numRef>
          </c:val>
          <c:smooth val="1"/>
          <c:extLst>
            <c:ext xmlns:c16="http://schemas.microsoft.com/office/drawing/2014/chart" uri="{C3380CC4-5D6E-409C-BE32-E72D297353CC}">
              <c16:uniqueId val="{00000001-6570-42A4-8E4D-15FEE3F2D4C3}"/>
            </c:ext>
          </c:extLst>
        </c:ser>
        <c:dLbls>
          <c:showLegendKey val="0"/>
          <c:showVal val="0"/>
          <c:showCatName val="0"/>
          <c:showSerName val="0"/>
          <c:showPercent val="0"/>
          <c:showBubbleSize val="0"/>
        </c:dLbls>
        <c:smooth val="0"/>
        <c:axId val="399000767"/>
        <c:axId val="399002687"/>
      </c:lineChart>
      <c:catAx>
        <c:axId val="399000767"/>
        <c:scaling>
          <c:orientation val="minMax"/>
        </c:scaling>
        <c:delete val="0"/>
        <c:axPos val="b"/>
        <c:title>
          <c:tx>
            <c:rich>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r>
                  <a:rPr lang="en-GB" b="1">
                    <a:latin typeface="Aptos Narrow" panose="020B0004020202020204" pitchFamily="34" charset="0"/>
                  </a:rPr>
                  <a:t>ISO Week</a:t>
                </a:r>
              </a:p>
            </c:rich>
          </c:tx>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2687"/>
        <c:crosses val="autoZero"/>
        <c:auto val="1"/>
        <c:lblAlgn val="ctr"/>
        <c:lblOffset val="100"/>
        <c:noMultiLvlLbl val="0"/>
      </c:catAx>
      <c:valAx>
        <c:axId val="399002687"/>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crossAx val="399000767"/>
        <c:crosses val="autoZero"/>
        <c:crossBetween val="between"/>
      </c:valAx>
      <c:spPr>
        <a:noFill/>
        <a:ln>
          <a:noFill/>
        </a:ln>
        <a:effectLst/>
      </c:spPr>
    </c:plotArea>
    <c:legend>
      <c:legendPos val="b"/>
      <c:layout>
        <c:manualLayout>
          <c:xMode val="edge"/>
          <c:yMode val="edge"/>
          <c:x val="0.70221695749086654"/>
          <c:y val="0.67202062900032222"/>
          <c:w val="0.27186424247220348"/>
          <c:h val="0.17534776902887139"/>
        </c:manualLayout>
      </c:layout>
      <c:overlay val="0"/>
      <c:spPr>
        <a:noFill/>
        <a:ln>
          <a:noFill/>
        </a:ln>
        <a:effectLst/>
      </c:spPr>
      <c:txPr>
        <a:bodyPr rot="0" spcFirstLastPara="1" vertOverflow="ellipsis" vert="horz" wrap="square" anchor="ctr" anchorCtr="1"/>
        <a:lstStyle/>
        <a:p>
          <a:pPr>
            <a:defRPr sz="1000" b="1" i="0" u="none" strike="noStrike" kern="1200" baseline="0">
              <a:solidFill>
                <a:schemeClr val="tx1">
                  <a:lumMod val="65000"/>
                  <a:lumOff val="35000"/>
                </a:schemeClr>
              </a:solidFill>
              <a:latin typeface="Aptos Narrow" panose="020B0004020202020204" pitchFamily="34" charset="0"/>
              <a:ea typeface="+mn-ea"/>
              <a:cs typeface="+mn-cs"/>
            </a:defRPr>
          </a:pPr>
          <a:endParaRPr lang="en-US"/>
        </a:p>
      </c:txPr>
    </c:legend>
    <c:plotVisOnly val="0"/>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'YoY FL Detail Acute'!$P$4</c:f>
              <c:strCache>
                <c:ptCount val="1"/>
                <c:pt idx="0">
                  <c:v>AW25 FL Uptake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'YoY FL Detail Acute'!$M$5:$M$13</c:f>
              <c:strCache>
                <c:ptCount val="9"/>
                <c:pt idx="0">
                  <c:v>Medical and Dental</c:v>
                </c:pt>
                <c:pt idx="1">
                  <c:v>Allied Health Professionals</c:v>
                </c:pt>
                <c:pt idx="2">
                  <c:v>Healthcare Scientists</c:v>
                </c:pt>
                <c:pt idx="3">
                  <c:v>Add Prof Scientific and Technic</c:v>
                </c:pt>
                <c:pt idx="4">
                  <c:v>Nursing and Midwifery Registered</c:v>
                </c:pt>
                <c:pt idx="5">
                  <c:v>Additional Clinical Services</c:v>
                </c:pt>
                <c:pt idx="6">
                  <c:v>Estates and Ancillary</c:v>
                </c:pt>
                <c:pt idx="7">
                  <c:v>Administrative and Clerical</c:v>
                </c:pt>
                <c:pt idx="8">
                  <c:v>Students</c:v>
                </c:pt>
              </c:strCache>
            </c:strRef>
          </c:cat>
          <c:val>
            <c:numRef>
              <c:f>'YoY FL Detail Acute'!$P$5:$P$13</c:f>
              <c:numCache>
                <c:formatCode>0.0%</c:formatCode>
                <c:ptCount val="9"/>
                <c:pt idx="0">
                  <c:v>0.49755555555555553</c:v>
                </c:pt>
                <c:pt idx="1">
                  <c:v>0.45183626961171003</c:v>
                </c:pt>
                <c:pt idx="2">
                  <c:v>0.40875133404482389</c:v>
                </c:pt>
                <c:pt idx="3">
                  <c:v>0.40840535502457209</c:v>
                </c:pt>
                <c:pt idx="4">
                  <c:v>0.39303441429516878</c:v>
                </c:pt>
                <c:pt idx="5">
                  <c:v>0.30033380182712577</c:v>
                </c:pt>
                <c:pt idx="6">
                  <c:v>0.29332897318508827</c:v>
                </c:pt>
                <c:pt idx="7">
                  <c:v>0.2844413982179575</c:v>
                </c:pt>
                <c:pt idx="8">
                  <c:v>0.23381294964028776</c:v>
                </c:pt>
              </c:numCache>
            </c:numRef>
          </c:val>
          <c:extLst>
            <c:ext xmlns:c16="http://schemas.microsoft.com/office/drawing/2014/chart" uri="{C3380CC4-5D6E-409C-BE32-E72D297353CC}">
              <c16:uniqueId val="{00000000-6465-4C92-935C-0AD2BD2291DD}"/>
            </c:ext>
          </c:extLst>
        </c:ser>
        <c:dLbls>
          <c:dLblPos val="outEnd"/>
          <c:showLegendKey val="0"/>
          <c:showVal val="1"/>
          <c:showCatName val="0"/>
          <c:showSerName val="0"/>
          <c:showPercent val="0"/>
          <c:showBubbleSize val="0"/>
        </c:dLbls>
        <c:gapWidth val="50"/>
        <c:axId val="239302832"/>
        <c:axId val="1532333456"/>
      </c:barChart>
      <c:catAx>
        <c:axId val="239302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1532333456"/>
        <c:crosses val="autoZero"/>
        <c:auto val="1"/>
        <c:lblAlgn val="ctr"/>
        <c:lblOffset val="100"/>
        <c:noMultiLvlLbl val="0"/>
      </c:catAx>
      <c:valAx>
        <c:axId val="1532333456"/>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23930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tx>
            <c:strRef>
              <c:f>'YoY FL Detail Acute'!$P$15</c:f>
              <c:strCache>
                <c:ptCount val="1"/>
                <c:pt idx="0">
                  <c:v>Uptake</c:v>
                </c:pt>
              </c:strCache>
            </c:strRef>
          </c:tx>
          <c:spPr>
            <a:solidFill>
              <a:schemeClr val="accent1"/>
            </a:solidFill>
            <a:ln>
              <a:noFill/>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'YoY FL Detail Acute'!$M$16:$M$32</c:f>
              <c:strCache>
                <c:ptCount val="17"/>
                <c:pt idx="0">
                  <c:v>A: White - British</c:v>
                </c:pt>
                <c:pt idx="1">
                  <c:v>B: White - Irish</c:v>
                </c:pt>
                <c:pt idx="2">
                  <c:v>R: Other ethnic groups - Chinese</c:v>
                </c:pt>
                <c:pt idx="3">
                  <c:v>F: Mixed - White and Asian</c:v>
                </c:pt>
                <c:pt idx="4">
                  <c:v>L: Asian or Asian British - Any other Asian background</c:v>
                </c:pt>
                <c:pt idx="5">
                  <c:v>C: White - Any other White background</c:v>
                </c:pt>
                <c:pt idx="6">
                  <c:v>G: Mixed - Any other Mixed background</c:v>
                </c:pt>
                <c:pt idx="7">
                  <c:v>S: Other ethnic groups - Any other ethnic group</c:v>
                </c:pt>
                <c:pt idx="8">
                  <c:v>H: Asian or Asian British - Indian</c:v>
                </c:pt>
                <c:pt idx="9">
                  <c:v>X: Unknown</c:v>
                </c:pt>
                <c:pt idx="10">
                  <c:v>J: Asian or Asian British - Pakistani</c:v>
                </c:pt>
                <c:pt idx="11">
                  <c:v>E: Mixed - White and Black African</c:v>
                </c:pt>
                <c:pt idx="12">
                  <c:v>D: Mixed - White and Black Caribbean</c:v>
                </c:pt>
                <c:pt idx="13">
                  <c:v>N: Black or Black British - African</c:v>
                </c:pt>
                <c:pt idx="14">
                  <c:v>K: Asian or Asian British - Bangladeshi</c:v>
                </c:pt>
                <c:pt idx="15">
                  <c:v>P: Black or Black British - Any other Black background</c:v>
                </c:pt>
                <c:pt idx="16">
                  <c:v>M: Black or Black British - Caribbean</c:v>
                </c:pt>
              </c:strCache>
            </c:strRef>
          </c:cat>
          <c:val>
            <c:numRef>
              <c:f>'YoY FL Detail Acute'!$P$16:$P$32</c:f>
              <c:numCache>
                <c:formatCode>0.0%</c:formatCode>
                <c:ptCount val="17"/>
                <c:pt idx="0">
                  <c:v>0.55969015795868771</c:v>
                </c:pt>
                <c:pt idx="1">
                  <c:v>0.53431372549019607</c:v>
                </c:pt>
                <c:pt idx="2">
                  <c:v>0.52096385542168677</c:v>
                </c:pt>
                <c:pt idx="3">
                  <c:v>0.4696078431372549</c:v>
                </c:pt>
                <c:pt idx="4">
                  <c:v>0.4175789407074606</c:v>
                </c:pt>
                <c:pt idx="5">
                  <c:v>0.40221576707424173</c:v>
                </c:pt>
                <c:pt idx="6">
                  <c:v>0.40220892774965483</c:v>
                </c:pt>
                <c:pt idx="7">
                  <c:v>0.39409474983385551</c:v>
                </c:pt>
                <c:pt idx="8">
                  <c:v>0.39151185843307146</c:v>
                </c:pt>
                <c:pt idx="9">
                  <c:v>0.38004246284501064</c:v>
                </c:pt>
                <c:pt idx="10">
                  <c:v>0.30558125192722785</c:v>
                </c:pt>
                <c:pt idx="11">
                  <c:v>0.26603174603174601</c:v>
                </c:pt>
                <c:pt idx="12">
                  <c:v>0.25637910085054677</c:v>
                </c:pt>
                <c:pt idx="13">
                  <c:v>0.2545962075271922</c:v>
                </c:pt>
                <c:pt idx="14">
                  <c:v>0.25111645482652012</c:v>
                </c:pt>
                <c:pt idx="15">
                  <c:v>0.23191838221898342</c:v>
                </c:pt>
                <c:pt idx="16">
                  <c:v>0.20379839298758218</c:v>
                </c:pt>
              </c:numCache>
            </c:numRef>
          </c:val>
          <c:extLst>
            <c:ext xmlns:c16="http://schemas.microsoft.com/office/drawing/2014/chart" uri="{C3380CC4-5D6E-409C-BE32-E72D297353CC}">
              <c16:uniqueId val="{00000000-FC08-4C30-B7B3-7524D0CDD365}"/>
            </c:ext>
          </c:extLst>
        </c:ser>
        <c:dLbls>
          <c:dLblPos val="outEnd"/>
          <c:showLegendKey val="0"/>
          <c:showVal val="1"/>
          <c:showCatName val="0"/>
          <c:showSerName val="0"/>
          <c:showPercent val="0"/>
          <c:showBubbleSize val="0"/>
        </c:dLbls>
        <c:gapWidth val="50"/>
        <c:axId val="239302832"/>
        <c:axId val="1532333456"/>
      </c:barChart>
      <c:catAx>
        <c:axId val="23930283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1532333456"/>
        <c:crosses val="autoZero"/>
        <c:auto val="1"/>
        <c:lblAlgn val="ctr"/>
        <c:lblOffset val="100"/>
        <c:noMultiLvlLbl val="0"/>
      </c:catAx>
      <c:valAx>
        <c:axId val="1532333456"/>
        <c:scaling>
          <c:orientation val="minMax"/>
        </c:scaling>
        <c:delete val="0"/>
        <c:axPos val="t"/>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ysClr val="windowText" lastClr="000000"/>
                </a:solidFill>
                <a:latin typeface="Aptos Narrow" panose="020B0004020202020204" pitchFamily="34" charset="0"/>
                <a:ea typeface="+mn-ea"/>
                <a:cs typeface="+mn-cs"/>
              </a:defRPr>
            </a:pPr>
            <a:endParaRPr lang="en-US"/>
          </a:p>
        </c:txPr>
        <c:crossAx val="23930283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solidFill>
            <a:sysClr val="windowText" lastClr="000000"/>
          </a:solidFill>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3.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4.xml.rels><?xml version="1.0" encoding="UTF-8" standalone="yes"?>
<Relationships xmlns="http://schemas.openxmlformats.org/package/2006/relationships"><Relationship Id="rId2" Type="http://schemas.openxmlformats.org/officeDocument/2006/relationships/chart" Target="../charts/chart11.xml"/><Relationship Id="rId1" Type="http://schemas.openxmlformats.org/officeDocument/2006/relationships/chart" Target="../charts/chart10.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3.xml"/><Relationship Id="rId1" Type="http://schemas.openxmlformats.org/officeDocument/2006/relationships/chart" Target="../charts/chart12.xml"/></Relationships>
</file>

<file path=xl/drawings/drawing1.xml><?xml version="1.0" encoding="utf-8"?>
<xdr:wsDr xmlns:xdr="http://schemas.openxmlformats.org/drawingml/2006/spreadsheetDrawing" xmlns:a="http://schemas.openxmlformats.org/drawingml/2006/main">
  <xdr:twoCellAnchor>
    <xdr:from>
      <xdr:col>1</xdr:col>
      <xdr:colOff>2</xdr:colOff>
      <xdr:row>2</xdr:row>
      <xdr:rowOff>173355</xdr:rowOff>
    </xdr:from>
    <xdr:to>
      <xdr:col>16</xdr:col>
      <xdr:colOff>7620</xdr:colOff>
      <xdr:row>21</xdr:row>
      <xdr:rowOff>129540</xdr:rowOff>
    </xdr:to>
    <xdr:sp macro="" textlink="">
      <xdr:nvSpPr>
        <xdr:cNvPr id="2" name="TextBox 1">
          <a:extLst>
            <a:ext uri="{FF2B5EF4-FFF2-40B4-BE49-F238E27FC236}">
              <a16:creationId xmlns:a16="http://schemas.microsoft.com/office/drawing/2014/main" id="{A69B2008-3484-D9EA-3534-821266E7CBB4}"/>
            </a:ext>
          </a:extLst>
        </xdr:cNvPr>
        <xdr:cNvSpPr txBox="1"/>
      </xdr:nvSpPr>
      <xdr:spPr>
        <a:xfrm>
          <a:off x="586742" y="539115"/>
          <a:ext cx="8938258" cy="3430905"/>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07000"/>
            </a:lnSpc>
            <a:spcAft>
              <a:spcPts val="800"/>
            </a:spcAft>
          </a:pPr>
          <a:r>
            <a:rPr lang="en-GB" sz="1600" b="1">
              <a:solidFill>
                <a:srgbClr val="212121"/>
              </a:solidFill>
              <a:effectLst/>
              <a:latin typeface="Aptos Narrow" panose="020B0004020202020204" pitchFamily="34" charset="0"/>
              <a:ea typeface="Calibri" panose="020F0502020204030204" pitchFamily="34" charset="0"/>
              <a:cs typeface="Arial" panose="020B0604020202020204" pitchFamily="34" charset="0"/>
            </a:rPr>
            <a:t>Frontline Healthcare Worker Flu accinations</a:t>
          </a:r>
          <a:endParaRPr lang="en-GB" sz="1600">
            <a:effectLst/>
            <a:latin typeface="Aptos Narrow" panose="020B0004020202020204" pitchFamily="34" charset="0"/>
            <a:ea typeface="Calibri" panose="020F0502020204030204" pitchFamily="34" charset="0"/>
            <a:cs typeface="Arial" panose="020B0604020202020204" pitchFamily="34" charset="0"/>
          </a:endParaRPr>
        </a:p>
        <a:p>
          <a:pPr>
            <a:lnSpc>
              <a:spcPct val="107000"/>
            </a:lnSpc>
            <a:spcAft>
              <a:spcPts val="800"/>
            </a:spcAft>
          </a:pPr>
          <a:r>
            <a:rPr lang="en-GB" sz="1200">
              <a:solidFill>
                <a:schemeClr val="dk1"/>
              </a:solidFill>
              <a:effectLst/>
              <a:latin typeface="Aptos Narrow" panose="020B0004020202020204" pitchFamily="34" charset="0"/>
              <a:ea typeface="Calibri" panose="020F0502020204030204" pitchFamily="34" charset="0"/>
              <a:cs typeface="Arial" panose="020B0604020202020204" pitchFamily="34" charset="0"/>
            </a:rPr>
            <a:t>Report </a:t>
          </a:r>
          <a:r>
            <a:rPr lang="en-GB" sz="1200">
              <a:solidFill>
                <a:srgbClr val="231F20"/>
              </a:solidFill>
              <a:effectLst/>
              <a:latin typeface="Aptos Narrow" panose="020B0004020202020204" pitchFamily="34" charset="0"/>
              <a:ea typeface="Calibri" panose="020F0502020204030204" pitchFamily="34" charset="0"/>
            </a:rPr>
            <a:t>uses a ‘frontline healthcare worker’ flag to mark those staff in ESR delivering roles with patient contact, who are therefore eligible for vaccination.  The flag has been automatically applied to employees on ESR based on their job role and Trusts have amended the flag for specific staff members.</a:t>
          </a:r>
        </a:p>
        <a:p>
          <a:pPr>
            <a:lnSpc>
              <a:spcPts val="1800"/>
            </a:lnSpc>
            <a:spcAft>
              <a:spcPts val="1400"/>
            </a:spcAft>
          </a:pPr>
          <a:r>
            <a:rPr lang="en-GB" sz="1200" baseline="0">
              <a:solidFill>
                <a:srgbClr val="231F20"/>
              </a:solidFill>
              <a:effectLst/>
              <a:latin typeface="Aptos Narrow" panose="020B0004020202020204" pitchFamily="34" charset="0"/>
              <a:ea typeface="Calibri" panose="020F0502020204030204" pitchFamily="34" charset="0"/>
            </a:rPr>
            <a:t>National FDP continue to work on improving the accuracy of ESR data with a number of improvements made to increase the accuracy of the Frontline Staff denominator at each Trust. The main National report can be access here:  </a:t>
          </a:r>
          <a:r>
            <a:rPr lang="en-GB" sz="1200" baseline="0">
              <a:solidFill>
                <a:schemeClr val="accent1"/>
              </a:solidFill>
              <a:effectLst/>
              <a:latin typeface="Aptos Narrow" panose="020B0004020202020204" pitchFamily="34" charset="0"/>
              <a:ea typeface="Calibri" panose="020F0502020204030204" pitchFamily="34" charset="0"/>
            </a:rPr>
            <a:t>https://england.federateddataplatform.nhs.uk/workspace/contour-app/ri.contour.main.analysis.c9887770-0f44-43f8-9815-06cec4780ba1/dashboard/tab/af6ca98f-9795-4778-991d-eaa235684e87/view</a:t>
          </a:r>
        </a:p>
        <a:p>
          <a:pPr>
            <a:lnSpc>
              <a:spcPts val="1800"/>
            </a:lnSpc>
            <a:spcAft>
              <a:spcPts val="1400"/>
            </a:spcAft>
          </a:pPr>
          <a:r>
            <a:rPr lang="en-GB" sz="1200" baseline="0">
              <a:solidFill>
                <a:sysClr val="windowText" lastClr="000000"/>
              </a:solidFill>
              <a:effectLst/>
              <a:latin typeface="Aptos Narrow" panose="020B0004020202020204" pitchFamily="34" charset="0"/>
              <a:ea typeface="Calibri" panose="020F0502020204030204" pitchFamily="34" charset="0"/>
            </a:rPr>
            <a:t>The report also include the 5% increased uptake ambition that has been applied to each Trust and a Year-on-Year comparison with AW24 Uptake for the corresponsing ISO Week.</a:t>
          </a:r>
        </a:p>
        <a:p>
          <a:pPr>
            <a:lnSpc>
              <a:spcPts val="1800"/>
            </a:lnSpc>
            <a:spcAft>
              <a:spcPts val="1400"/>
            </a:spcAft>
          </a:pPr>
          <a:r>
            <a:rPr lang="en-GB" sz="1200" baseline="0">
              <a:solidFill>
                <a:srgbClr val="231F20"/>
              </a:solidFill>
              <a:effectLst/>
              <a:latin typeface="Aptos Narrow" panose="020B0004020202020204" pitchFamily="34" charset="0"/>
              <a:ea typeface="Calibri" panose="020F0502020204030204" pitchFamily="34" charset="0"/>
            </a:rPr>
            <a:t>Any queries more broadly related to the flow of </a:t>
          </a:r>
          <a:r>
            <a:rPr lang="en-GB" sz="1200" b="0" baseline="0">
              <a:solidFill>
                <a:srgbClr val="231F20"/>
              </a:solidFill>
              <a:effectLst/>
              <a:latin typeface="Aptos Narrow" panose="020B0004020202020204" pitchFamily="34" charset="0"/>
              <a:ea typeface="Calibri" panose="020F0502020204030204" pitchFamily="34" charset="0"/>
            </a:rPr>
            <a:t>data into FDP, particularly from ESR records, should be directly to national FDP support: </a:t>
          </a:r>
          <a:r>
            <a:rPr lang="en-GB" sz="1200" b="0" baseline="0">
              <a:solidFill>
                <a:schemeClr val="tx2"/>
              </a:solidFill>
              <a:effectLst/>
              <a:latin typeface="Aptos Narrow" panose="020B0004020202020204" pitchFamily="34" charset="0"/>
              <a:ea typeface="Calibri" panose="020F0502020204030204" pitchFamily="34" charset="0"/>
            </a:rPr>
            <a:t>england.fdp.enquiries@nhs.net</a:t>
          </a:r>
          <a:r>
            <a:rPr lang="en-GB" sz="1200" b="0" baseline="0">
              <a:solidFill>
                <a:srgbClr val="231F20"/>
              </a:solidFill>
              <a:effectLst/>
              <a:latin typeface="Aptos Narrow" panose="020B0004020202020204" pitchFamily="34" charset="0"/>
              <a:ea typeface="Calibri" panose="020F0502020204030204" pitchFamily="34" charset="0"/>
            </a:rPr>
            <a:t>. Anything directly related to this report please contact: </a:t>
          </a:r>
          <a:r>
            <a:rPr lang="en-GB" sz="1200" b="0" baseline="0">
              <a:solidFill>
                <a:schemeClr val="tx2"/>
              </a:solidFill>
              <a:effectLst/>
              <a:latin typeface="Aptos Narrow" panose="020B0004020202020204" pitchFamily="34" charset="0"/>
              <a:ea typeface="Calibri" panose="020F0502020204030204" pitchFamily="34" charset="0"/>
            </a:rPr>
            <a:t>england.london.info-out_of_hospital@nhs.net </a:t>
          </a:r>
          <a:endParaRPr lang="en-GB" sz="1200" b="0">
            <a:solidFill>
              <a:schemeClr val="tx2"/>
            </a:solidFill>
            <a:effectLst/>
            <a:latin typeface="Aptos Narrow" panose="020B0004020202020204" pitchFamily="34" charset="0"/>
            <a:ea typeface="Calibri" panose="020F050202020403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17</xdr:col>
      <xdr:colOff>22860</xdr:colOff>
      <xdr:row>4</xdr:row>
      <xdr:rowOff>11430</xdr:rowOff>
    </xdr:from>
    <xdr:to>
      <xdr:col>26</xdr:col>
      <xdr:colOff>601980</xdr:colOff>
      <xdr:row>19</xdr:row>
      <xdr:rowOff>11430</xdr:rowOff>
    </xdr:to>
    <xdr:graphicFrame macro="">
      <xdr:nvGraphicFramePr>
        <xdr:cNvPr id="2" name="Chart 1">
          <a:extLst>
            <a:ext uri="{FF2B5EF4-FFF2-40B4-BE49-F238E27FC236}">
              <a16:creationId xmlns:a16="http://schemas.microsoft.com/office/drawing/2014/main" id="{8ABCCF73-3F06-D4FE-133E-A7F38434D89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22860</xdr:colOff>
      <xdr:row>19</xdr:row>
      <xdr:rowOff>38100</xdr:rowOff>
    </xdr:from>
    <xdr:to>
      <xdr:col>26</xdr:col>
      <xdr:colOff>601980</xdr:colOff>
      <xdr:row>34</xdr:row>
      <xdr:rowOff>38100</xdr:rowOff>
    </xdr:to>
    <xdr:graphicFrame macro="">
      <xdr:nvGraphicFramePr>
        <xdr:cNvPr id="3" name="Chart 2">
          <a:extLst>
            <a:ext uri="{FF2B5EF4-FFF2-40B4-BE49-F238E27FC236}">
              <a16:creationId xmlns:a16="http://schemas.microsoft.com/office/drawing/2014/main" id="{39599C75-8238-4FF4-AA6C-7B70A01B65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22860</xdr:colOff>
      <xdr:row>34</xdr:row>
      <xdr:rowOff>76200</xdr:rowOff>
    </xdr:from>
    <xdr:to>
      <xdr:col>26</xdr:col>
      <xdr:colOff>601980</xdr:colOff>
      <xdr:row>49</xdr:row>
      <xdr:rowOff>76200</xdr:rowOff>
    </xdr:to>
    <xdr:graphicFrame macro="">
      <xdr:nvGraphicFramePr>
        <xdr:cNvPr id="4" name="Chart 3">
          <a:extLst>
            <a:ext uri="{FF2B5EF4-FFF2-40B4-BE49-F238E27FC236}">
              <a16:creationId xmlns:a16="http://schemas.microsoft.com/office/drawing/2014/main" id="{4CBEF4F8-7D3E-4E1B-A56E-8E228E14D93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27</xdr:col>
      <xdr:colOff>45720</xdr:colOff>
      <xdr:row>4</xdr:row>
      <xdr:rowOff>7620</xdr:rowOff>
    </xdr:from>
    <xdr:to>
      <xdr:col>37</xdr:col>
      <xdr:colOff>15240</xdr:colOff>
      <xdr:row>19</xdr:row>
      <xdr:rowOff>7620</xdr:rowOff>
    </xdr:to>
    <xdr:graphicFrame macro="">
      <xdr:nvGraphicFramePr>
        <xdr:cNvPr id="5" name="Chart 4">
          <a:extLst>
            <a:ext uri="{FF2B5EF4-FFF2-40B4-BE49-F238E27FC236}">
              <a16:creationId xmlns:a16="http://schemas.microsoft.com/office/drawing/2014/main" id="{8BE0D7A0-8BFF-464B-9536-255926D09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27</xdr:col>
      <xdr:colOff>45720</xdr:colOff>
      <xdr:row>19</xdr:row>
      <xdr:rowOff>34290</xdr:rowOff>
    </xdr:from>
    <xdr:to>
      <xdr:col>37</xdr:col>
      <xdr:colOff>15240</xdr:colOff>
      <xdr:row>34</xdr:row>
      <xdr:rowOff>34290</xdr:rowOff>
    </xdr:to>
    <xdr:graphicFrame macro="">
      <xdr:nvGraphicFramePr>
        <xdr:cNvPr id="6" name="Chart 5">
          <a:extLst>
            <a:ext uri="{FF2B5EF4-FFF2-40B4-BE49-F238E27FC236}">
              <a16:creationId xmlns:a16="http://schemas.microsoft.com/office/drawing/2014/main" id="{28E7F78B-187A-4A1E-BD49-4D162477AFF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27</xdr:col>
      <xdr:colOff>45720</xdr:colOff>
      <xdr:row>34</xdr:row>
      <xdr:rowOff>72390</xdr:rowOff>
    </xdr:from>
    <xdr:to>
      <xdr:col>37</xdr:col>
      <xdr:colOff>15240</xdr:colOff>
      <xdr:row>49</xdr:row>
      <xdr:rowOff>72390</xdr:rowOff>
    </xdr:to>
    <xdr:graphicFrame macro="">
      <xdr:nvGraphicFramePr>
        <xdr:cNvPr id="7" name="Chart 6">
          <a:extLst>
            <a:ext uri="{FF2B5EF4-FFF2-40B4-BE49-F238E27FC236}">
              <a16:creationId xmlns:a16="http://schemas.microsoft.com/office/drawing/2014/main" id="{F40C5526-2C3F-4A2C-B433-E93A6D052D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37</xdr:col>
      <xdr:colOff>76200</xdr:colOff>
      <xdr:row>4</xdr:row>
      <xdr:rowOff>7620</xdr:rowOff>
    </xdr:from>
    <xdr:to>
      <xdr:col>47</xdr:col>
      <xdr:colOff>45720</xdr:colOff>
      <xdr:row>19</xdr:row>
      <xdr:rowOff>7620</xdr:rowOff>
    </xdr:to>
    <xdr:graphicFrame macro="">
      <xdr:nvGraphicFramePr>
        <xdr:cNvPr id="8" name="Chart 7">
          <a:extLst>
            <a:ext uri="{FF2B5EF4-FFF2-40B4-BE49-F238E27FC236}">
              <a16:creationId xmlns:a16="http://schemas.microsoft.com/office/drawing/2014/main" id="{31E08E0A-3634-4225-A99B-9BFDEF9E67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20</xdr:col>
      <xdr:colOff>107548</xdr:colOff>
      <xdr:row>3</xdr:row>
      <xdr:rowOff>68180</xdr:rowOff>
    </xdr:from>
    <xdr:to>
      <xdr:col>31</xdr:col>
      <xdr:colOff>535774</xdr:colOff>
      <xdr:row>16</xdr:row>
      <xdr:rowOff>124219</xdr:rowOff>
    </xdr:to>
    <xdr:graphicFrame macro="">
      <xdr:nvGraphicFramePr>
        <xdr:cNvPr id="2" name="Chart 1">
          <a:extLst>
            <a:ext uri="{FF2B5EF4-FFF2-40B4-BE49-F238E27FC236}">
              <a16:creationId xmlns:a16="http://schemas.microsoft.com/office/drawing/2014/main" id="{054B5FED-2885-46F0-9F3B-63AF152BD06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110965</xdr:colOff>
      <xdr:row>17</xdr:row>
      <xdr:rowOff>65719</xdr:rowOff>
    </xdr:from>
    <xdr:to>
      <xdr:col>31</xdr:col>
      <xdr:colOff>535774</xdr:colOff>
      <xdr:row>43</xdr:row>
      <xdr:rowOff>114297</xdr:rowOff>
    </xdr:to>
    <xdr:graphicFrame macro="">
      <xdr:nvGraphicFramePr>
        <xdr:cNvPr id="3" name="Chart 2">
          <a:extLst>
            <a:ext uri="{FF2B5EF4-FFF2-40B4-BE49-F238E27FC236}">
              <a16:creationId xmlns:a16="http://schemas.microsoft.com/office/drawing/2014/main" id="{A27E51E8-381F-4C39-9378-32289DF27E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20</xdr:col>
      <xdr:colOff>107548</xdr:colOff>
      <xdr:row>3</xdr:row>
      <xdr:rowOff>68180</xdr:rowOff>
    </xdr:from>
    <xdr:to>
      <xdr:col>31</xdr:col>
      <xdr:colOff>535774</xdr:colOff>
      <xdr:row>16</xdr:row>
      <xdr:rowOff>124219</xdr:rowOff>
    </xdr:to>
    <xdr:graphicFrame macro="">
      <xdr:nvGraphicFramePr>
        <xdr:cNvPr id="2" name="Chart 1">
          <a:extLst>
            <a:ext uri="{FF2B5EF4-FFF2-40B4-BE49-F238E27FC236}">
              <a16:creationId xmlns:a16="http://schemas.microsoft.com/office/drawing/2014/main" id="{26A6F6DA-4914-48B2-92DB-4A76D9250D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110965</xdr:colOff>
      <xdr:row>17</xdr:row>
      <xdr:rowOff>65719</xdr:rowOff>
    </xdr:from>
    <xdr:to>
      <xdr:col>31</xdr:col>
      <xdr:colOff>535774</xdr:colOff>
      <xdr:row>43</xdr:row>
      <xdr:rowOff>114297</xdr:rowOff>
    </xdr:to>
    <xdr:graphicFrame macro="">
      <xdr:nvGraphicFramePr>
        <xdr:cNvPr id="3" name="Chart 2">
          <a:extLst>
            <a:ext uri="{FF2B5EF4-FFF2-40B4-BE49-F238E27FC236}">
              <a16:creationId xmlns:a16="http://schemas.microsoft.com/office/drawing/2014/main" id="{CF783145-C433-40E6-8C95-7E4D0FA2C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20</xdr:col>
      <xdr:colOff>107548</xdr:colOff>
      <xdr:row>3</xdr:row>
      <xdr:rowOff>68180</xdr:rowOff>
    </xdr:from>
    <xdr:to>
      <xdr:col>31</xdr:col>
      <xdr:colOff>535774</xdr:colOff>
      <xdr:row>16</xdr:row>
      <xdr:rowOff>124219</xdr:rowOff>
    </xdr:to>
    <xdr:graphicFrame macro="">
      <xdr:nvGraphicFramePr>
        <xdr:cNvPr id="2" name="Chart 1">
          <a:extLst>
            <a:ext uri="{FF2B5EF4-FFF2-40B4-BE49-F238E27FC236}">
              <a16:creationId xmlns:a16="http://schemas.microsoft.com/office/drawing/2014/main" id="{F869DAD4-E297-44AD-BE85-E5DDEBE70C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110965</xdr:colOff>
      <xdr:row>17</xdr:row>
      <xdr:rowOff>65719</xdr:rowOff>
    </xdr:from>
    <xdr:to>
      <xdr:col>31</xdr:col>
      <xdr:colOff>535774</xdr:colOff>
      <xdr:row>43</xdr:row>
      <xdr:rowOff>114297</xdr:rowOff>
    </xdr:to>
    <xdr:graphicFrame macro="">
      <xdr:nvGraphicFramePr>
        <xdr:cNvPr id="3" name="Chart 2">
          <a:extLst>
            <a:ext uri="{FF2B5EF4-FFF2-40B4-BE49-F238E27FC236}">
              <a16:creationId xmlns:a16="http://schemas.microsoft.com/office/drawing/2014/main" id="{6119B114-2E73-4743-8535-B608012854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WORTH, Oliver (NHS ENGLAND - X24)" refreshedDate="46108.486586226849" createdVersion="8" refreshedVersion="8" minRefreshableVersion="3" recordCount="280" xr:uid="{F19F2966-D094-4BD7-B277-552C9C8FED07}">
  <cacheSource type="worksheet">
    <worksheetSource name="flu_staff"/>
  </cacheSource>
  <cacheFields count="12">
    <cacheField name="trust_code" numFmtId="0">
      <sharedItems/>
    </cacheField>
    <cacheField name="trust_name" numFmtId="0">
      <sharedItems/>
    </cacheField>
    <cacheField name="icb" numFmtId="0">
      <sharedItems/>
    </cacheField>
    <cacheField name="Staff Group" numFmtId="0">
      <sharedItems count="9">
        <s v="Estates and Ancillary"/>
        <s v="Students"/>
        <s v="Medical and Dental"/>
        <s v="Administrative and Clerical"/>
        <s v="Nursing and Midwifery Registered"/>
        <s v="Allied Health Professionals"/>
        <s v="Add Prof Scientific and Technic"/>
        <s v="Additional Clinical Services"/>
        <s v="Healthcare Scientists"/>
      </sharedItems>
    </cacheField>
    <cacheField name="fl_staff" numFmtId="3">
      <sharedItems containsSemiMixedTypes="0" containsString="0" containsNumber="1" containsInteger="1" minValue="0" maxValue="6501"/>
    </cacheField>
    <cacheField name="fl_doses" numFmtId="3">
      <sharedItems containsSemiMixedTypes="0" containsString="0" containsNumber="1" containsInteger="1" minValue="0" maxValue="3006"/>
    </cacheField>
    <cacheField name="fl_uptake" numFmtId="0">
      <sharedItems containsString="0" containsBlank="1" containsNumber="1" minValue="0" maxValue="1"/>
    </cacheField>
    <cacheField name="trust_short" numFmtId="0">
      <sharedItems containsBlank="1" count="40">
        <s v="CNWL"/>
        <s v="GOSH"/>
        <s v="Moorfields"/>
        <s v="North London"/>
        <s v="Royal Free"/>
        <s v="RNOH"/>
        <s v="T&amp;P"/>
        <s v="UCLH"/>
        <s v="Whittington"/>
        <s v="BHR"/>
        <s v="Barts"/>
        <s v="ELFT"/>
        <s v="Homerton"/>
        <s v="NELFT"/>
        <s v="CLCH"/>
        <s v="ChelWest"/>
        <s v="Imperial"/>
        <s v="LAS"/>
        <s v="LNW"/>
        <s v="Hillingdon"/>
        <s v="West London"/>
        <s v="GSTT"/>
        <s v="King's"/>
        <s v="L&amp;G"/>
        <s v="Oxleas"/>
        <s v="SLAM"/>
        <s v="Croydon"/>
        <s v="Epsom"/>
        <s v="K&amp;R FT"/>
        <s v="SWL&amp;StG"/>
        <s v="St George's"/>
        <s v="Marsden"/>
        <s v="North Midds" u="1"/>
        <s v="Kingston &amp; Richmond" u="1"/>
        <s v="C&amp;I" u="1"/>
        <s v="Kingston" u="1"/>
        <s v="BEH" u="1"/>
        <s v="HRCH" u="1"/>
        <s v="Bromley" u="1"/>
        <m u="1"/>
      </sharedItems>
    </cacheField>
    <cacheField name="% Uptake" numFmtId="0" formula="#NAME?/#NAME?" databaseField="0"/>
    <cacheField name="Remaining" numFmtId="0" formula="#NAME?-#NAME?" databaseField="0"/>
    <cacheField name="% Frontline Uptake" numFmtId="0" formula="fl_doses/fl_staff" databaseField="0"/>
    <cacheField name="Total Frontline Remaining" numFmtId="0" formula="fl_staff-fl_doses" databaseField="0"/>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WORTH, Oliver (NHS ENGLAND - X24)" refreshedDate="46108.486613773151" createdVersion="8" refreshedVersion="8" minRefreshableVersion="3" recordCount="608" xr:uid="{8C26E06B-8922-4692-8E6F-A85902245F7B}">
  <cacheSource type="worksheet">
    <worksheetSource name="flu_eth_ep"/>
  </cacheSource>
  <cacheFields count="13">
    <cacheField name="trust_code" numFmtId="0">
      <sharedItems/>
    </cacheField>
    <cacheField name="trust_name" numFmtId="0">
      <sharedItems/>
    </cacheField>
    <cacheField name="icb" numFmtId="0">
      <sharedItems/>
    </cacheField>
    <cacheField name="Ethnicity" numFmtId="0">
      <sharedItems containsBlank="1" count="20">
        <s v="G: Mixed - Any other mixed background"/>
        <s v="X: Unknown"/>
        <s v="E: Mixed - White and Black African"/>
        <s v="C: White - Any other white background"/>
        <s v="M: Black or Black British - Caribbean"/>
        <s v="A: White - British"/>
        <s v="P: Black or Black British - Any other Black background"/>
        <s v="J: Asian or Asian British - Pakistani"/>
        <s v="K: Asian or Asian British - Bangladeshi"/>
        <s v="F: Mixed - White and Asian"/>
        <s v="N: Black or Black British - African"/>
        <s v="R: Other ethnic groups - Chinese"/>
        <s v="S: Other ethnic groups - Any other ethnic group"/>
        <s v="H: Asian or Asian British - Indian"/>
        <s v="D: Mixed - White and Black Caribbean"/>
        <s v="B: White - Irish"/>
        <s v="L: Asian or Asian British - Any other Asian background"/>
        <s v="Unknown" u="1"/>
        <s v="99: Not known" u="1"/>
        <m u="1"/>
      </sharedItems>
    </cacheField>
    <cacheField name="fl_staff" numFmtId="3">
      <sharedItems containsSemiMixedTypes="0" containsString="0" containsNumber="1" containsInteger="1" minValue="0" maxValue="4952"/>
    </cacheField>
    <cacheField name="fl_doses" numFmtId="3">
      <sharedItems containsSemiMixedTypes="0" containsString="0" containsNumber="1" containsInteger="1" minValue="0" maxValue="2982"/>
    </cacheField>
    <cacheField name="fl_uptake" numFmtId="0">
      <sharedItems containsString="0" containsBlank="1" containsNumber="1" minValue="0" maxValue="1"/>
    </cacheField>
    <cacheField name="trust_short" numFmtId="0">
      <sharedItems count="40">
        <s v="CNWL"/>
        <s v="GOSH"/>
        <s v="Moorfields"/>
        <s v="North London"/>
        <s v="Royal Free"/>
        <s v="RNOH"/>
        <s v="T&amp;P"/>
        <s v="UCLH"/>
        <s v="Whittington"/>
        <s v="BHR"/>
        <s v="Barts"/>
        <s v="ELFT"/>
        <s v="Homerton"/>
        <s v="NELFT"/>
        <s v="CLCH"/>
        <s v="ChelWest"/>
        <s v="Imperial"/>
        <s v="LAS"/>
        <s v="LNW"/>
        <s v="Hillingdon"/>
        <s v="West London"/>
        <s v="GSTT"/>
        <s v="King's"/>
        <s v="L&amp;G"/>
        <s v="Oxleas"/>
        <s v="SLAM"/>
        <s v="Croydon"/>
        <s v="Epsom"/>
        <s v="K&amp;R FT"/>
        <s v="SWL&amp;StG"/>
        <s v="St George's"/>
        <s v="Marsden"/>
        <e v="#VALUE!" u="1"/>
        <s v="North Midds" u="1"/>
        <s v="Kingston &amp; Richmond" u="1"/>
        <s v="C&amp;I" u="1"/>
        <s v="Kingston" u="1"/>
        <s v="BEH" u="1"/>
        <s v="HRCH" u="1"/>
        <s v="Bromley" u="1"/>
      </sharedItems>
    </cacheField>
    <cacheField name="trust_type" numFmtId="0">
      <sharedItems/>
    </cacheField>
    <cacheField name="% Uptake" numFmtId="0" formula="#NAME?/#NAME?" databaseField="0"/>
    <cacheField name="Total Remaining" numFmtId="0" formula="#NAME?-#NAME?" databaseField="0"/>
    <cacheField name="% Frontline Uptake" numFmtId="0" formula="fl_doses/fl_staff" databaseField="0"/>
    <cacheField name="Total Frontline Remaining" numFmtId="0" formula="fl_staff-fl_doses" databaseField="0"/>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80">
  <r>
    <s v="RV3"/>
    <s v="CENTRAL AND NORTH WEST LONDON NHS FOUNDATION TRUST"/>
    <s v="NCL"/>
    <x v="0"/>
    <n v="14"/>
    <n v="8"/>
    <n v="0.57142857142857095"/>
    <x v="0"/>
  </r>
  <r>
    <s v="RV3"/>
    <s v="CENTRAL AND NORTH WEST LONDON NHS FOUNDATION TRUST"/>
    <s v="NCL"/>
    <x v="1"/>
    <n v="42"/>
    <n v="18"/>
    <n v="0.42857142857142799"/>
    <x v="0"/>
  </r>
  <r>
    <s v="RV3"/>
    <s v="CENTRAL AND NORTH WEST LONDON NHS FOUNDATION TRUST"/>
    <s v="NCL"/>
    <x v="2"/>
    <n v="483"/>
    <n v="234"/>
    <n v="0.48447204968944102"/>
    <x v="0"/>
  </r>
  <r>
    <s v="RV3"/>
    <s v="CENTRAL AND NORTH WEST LONDON NHS FOUNDATION TRUST"/>
    <s v="NCL"/>
    <x v="3"/>
    <n v="91"/>
    <n v="44"/>
    <n v="0.48351648351648302"/>
    <x v="0"/>
  </r>
  <r>
    <s v="RV3"/>
    <s v="CENTRAL AND NORTH WEST LONDON NHS FOUNDATION TRUST"/>
    <s v="NCL"/>
    <x v="4"/>
    <n v="1899"/>
    <n v="622"/>
    <n v="0.32754081095313298"/>
    <x v="0"/>
  </r>
  <r>
    <s v="RV3"/>
    <s v="CENTRAL AND NORTH WEST LONDON NHS FOUNDATION TRUST"/>
    <s v="NCL"/>
    <x v="5"/>
    <n v="933"/>
    <n v="369"/>
    <n v="0.39549839228295802"/>
    <x v="0"/>
  </r>
  <r>
    <s v="RV3"/>
    <s v="CENTRAL AND NORTH WEST LONDON NHS FOUNDATION TRUST"/>
    <s v="NCL"/>
    <x v="6"/>
    <n v="786"/>
    <n v="279"/>
    <n v="0.35496183206106802"/>
    <x v="0"/>
  </r>
  <r>
    <s v="RV3"/>
    <s v="CENTRAL AND NORTH WEST LONDON NHS FOUNDATION TRUST"/>
    <s v="NCL"/>
    <x v="7"/>
    <n v="1628"/>
    <n v="433"/>
    <n v="0.26597051597051502"/>
    <x v="0"/>
  </r>
  <r>
    <s v="RV3"/>
    <s v="CENTRAL AND NORTH WEST LONDON NHS FOUNDATION TRUST"/>
    <s v="NCL"/>
    <x v="8"/>
    <n v="4"/>
    <n v="1"/>
    <n v="0.25"/>
    <x v="0"/>
  </r>
  <r>
    <s v="RP4"/>
    <s v="GREAT ORMOND STREET HOSPITAL FOR CHILDREN NHS FOUNDATION TRUST"/>
    <s v="NCL"/>
    <x v="4"/>
    <n v="1400"/>
    <n v="811"/>
    <n v="0.57928571428571396"/>
    <x v="1"/>
  </r>
  <r>
    <s v="RP4"/>
    <s v="GREAT ORMOND STREET HOSPITAL FOR CHILDREN NHS FOUNDATION TRUST"/>
    <s v="NCL"/>
    <x v="0"/>
    <n v="370"/>
    <n v="128"/>
    <n v="0.34594594594594502"/>
    <x v="1"/>
  </r>
  <r>
    <s v="RP4"/>
    <s v="GREAT ORMOND STREET HOSPITAL FOR CHILDREN NHS FOUNDATION TRUST"/>
    <s v="NCL"/>
    <x v="6"/>
    <n v="328"/>
    <n v="202"/>
    <n v="0.61585365853658502"/>
    <x v="1"/>
  </r>
  <r>
    <s v="RP4"/>
    <s v="GREAT ORMOND STREET HOSPITAL FOR CHILDREN NHS FOUNDATION TRUST"/>
    <s v="NCL"/>
    <x v="5"/>
    <n v="263"/>
    <n v="167"/>
    <n v="0.63498098859315499"/>
    <x v="1"/>
  </r>
  <r>
    <s v="RP4"/>
    <s v="GREAT ORMOND STREET HOSPITAL FOR CHILDREN NHS FOUNDATION TRUST"/>
    <s v="NCL"/>
    <x v="8"/>
    <n v="174"/>
    <n v="110"/>
    <n v="0.63218390804597702"/>
    <x v="1"/>
  </r>
  <r>
    <s v="RP4"/>
    <s v="GREAT ORMOND STREET HOSPITAL FOR CHILDREN NHS FOUNDATION TRUST"/>
    <s v="NCL"/>
    <x v="1"/>
    <n v="1"/>
    <n v="0"/>
    <n v="0"/>
    <x v="1"/>
  </r>
  <r>
    <s v="RP4"/>
    <s v="GREAT ORMOND STREET HOSPITAL FOR CHILDREN NHS FOUNDATION TRUST"/>
    <s v="NCL"/>
    <x v="2"/>
    <n v="925"/>
    <n v="591"/>
    <n v="0.63891891891891806"/>
    <x v="1"/>
  </r>
  <r>
    <s v="RP4"/>
    <s v="GREAT ORMOND STREET HOSPITAL FOR CHILDREN NHS FOUNDATION TRUST"/>
    <s v="NCL"/>
    <x v="3"/>
    <n v="2"/>
    <n v="0"/>
    <n v="0"/>
    <x v="1"/>
  </r>
  <r>
    <s v="RP4"/>
    <s v="GREAT ORMOND STREET HOSPITAL FOR CHILDREN NHS FOUNDATION TRUST"/>
    <s v="NCL"/>
    <x v="7"/>
    <n v="475"/>
    <n v="207"/>
    <n v="0.43578947368421"/>
    <x v="1"/>
  </r>
  <r>
    <s v="RP6"/>
    <s v="MOORFIELDS EYE HOSPITAL NHS FOUNDATION TRUST"/>
    <s v="NCL"/>
    <x v="4"/>
    <n v="443"/>
    <n v="244"/>
    <n v="0.55079006772008998"/>
    <x v="2"/>
  </r>
  <r>
    <s v="RP6"/>
    <s v="MOORFIELDS EYE HOSPITAL NHS FOUNDATION TRUST"/>
    <s v="NCL"/>
    <x v="8"/>
    <n v="58"/>
    <n v="25"/>
    <n v="0.43103448275862"/>
    <x v="2"/>
  </r>
  <r>
    <s v="RP6"/>
    <s v="MOORFIELDS EYE HOSPITAL NHS FOUNDATION TRUST"/>
    <s v="NCL"/>
    <x v="5"/>
    <n v="54"/>
    <n v="31"/>
    <n v="0.57407407407407396"/>
    <x v="2"/>
  </r>
  <r>
    <s v="RP6"/>
    <s v="MOORFIELDS EYE HOSPITAL NHS FOUNDATION TRUST"/>
    <s v="NCL"/>
    <x v="3"/>
    <n v="163"/>
    <n v="48"/>
    <n v="0.29447852760736198"/>
    <x v="2"/>
  </r>
  <r>
    <s v="RP6"/>
    <s v="MOORFIELDS EYE HOSPITAL NHS FOUNDATION TRUST"/>
    <s v="NCL"/>
    <x v="7"/>
    <n v="327"/>
    <n v="149"/>
    <n v="0.45565749235474001"/>
    <x v="2"/>
  </r>
  <r>
    <s v="RP6"/>
    <s v="MOORFIELDS EYE HOSPITAL NHS FOUNDATION TRUST"/>
    <s v="NCL"/>
    <x v="0"/>
    <n v="22"/>
    <n v="7"/>
    <n v="0.31818181818181801"/>
    <x v="2"/>
  </r>
  <r>
    <s v="RP6"/>
    <s v="MOORFIELDS EYE HOSPITAL NHS FOUNDATION TRUST"/>
    <s v="NCL"/>
    <x v="1"/>
    <n v="10"/>
    <n v="3"/>
    <n v="0.3"/>
    <x v="2"/>
  </r>
  <r>
    <s v="RP6"/>
    <s v="MOORFIELDS EYE HOSPITAL NHS FOUNDATION TRUST"/>
    <s v="NCL"/>
    <x v="6"/>
    <n v="235"/>
    <n v="124"/>
    <n v="0.52765957446808498"/>
    <x v="2"/>
  </r>
  <r>
    <s v="RP6"/>
    <s v="MOORFIELDS EYE HOSPITAL NHS FOUNDATION TRUST"/>
    <s v="NCL"/>
    <x v="2"/>
    <n v="465"/>
    <n v="273"/>
    <n v="0.587096774193548"/>
    <x v="2"/>
  </r>
  <r>
    <s v="G6V2S"/>
    <s v="NORTH LONDON NHS FOUNDATION TRUST"/>
    <s v="NCL"/>
    <x v="7"/>
    <n v="1698"/>
    <n v="433"/>
    <n v="0.25500588928150703"/>
    <x v="3"/>
  </r>
  <r>
    <s v="G6V2S"/>
    <s v="NORTH LONDON NHS FOUNDATION TRUST"/>
    <s v="NCL"/>
    <x v="3"/>
    <n v="105"/>
    <n v="33"/>
    <n v="0.314285714285714"/>
    <x v="3"/>
  </r>
  <r>
    <s v="G6V2S"/>
    <s v="NORTH LONDON NHS FOUNDATION TRUST"/>
    <s v="NCL"/>
    <x v="6"/>
    <n v="1166"/>
    <n v="422"/>
    <n v="0.36192109777015402"/>
    <x v="3"/>
  </r>
  <r>
    <s v="G6V2S"/>
    <s v="NORTH LONDON NHS FOUNDATION TRUST"/>
    <s v="NCL"/>
    <x v="2"/>
    <n v="494"/>
    <n v="237"/>
    <n v="0.479757085020242"/>
    <x v="3"/>
  </r>
  <r>
    <s v="G6V2S"/>
    <s v="NORTH LONDON NHS FOUNDATION TRUST"/>
    <s v="NCL"/>
    <x v="4"/>
    <n v="1391"/>
    <n v="410"/>
    <n v="0.29475197699496702"/>
    <x v="3"/>
  </r>
  <r>
    <s v="G6V2S"/>
    <s v="NORTH LONDON NHS FOUNDATION TRUST"/>
    <s v="NCL"/>
    <x v="5"/>
    <n v="276"/>
    <n v="108"/>
    <n v="0.39130434782608697"/>
    <x v="3"/>
  </r>
  <r>
    <s v="G6V2S"/>
    <s v="NORTH LONDON NHS FOUNDATION TRUST"/>
    <s v="NCL"/>
    <x v="1"/>
    <n v="22"/>
    <n v="3"/>
    <n v="0.13636363636363599"/>
    <x v="3"/>
  </r>
  <r>
    <s v="G6V2S"/>
    <s v="NORTH LONDON NHS FOUNDATION TRUST"/>
    <s v="NCL"/>
    <x v="0"/>
    <n v="22"/>
    <n v="4"/>
    <n v="0.18181818181818099"/>
    <x v="3"/>
  </r>
  <r>
    <s v="RAL"/>
    <s v="ROYAL FREE LONDON NHS FOUNDATION TRUST"/>
    <s v="NCL"/>
    <x v="7"/>
    <n v="3070"/>
    <n v="896"/>
    <n v="0.29185667752442901"/>
    <x v="4"/>
  </r>
  <r>
    <s v="RAL"/>
    <s v="ROYAL FREE LONDON NHS FOUNDATION TRUST"/>
    <s v="NCL"/>
    <x v="1"/>
    <n v="53"/>
    <n v="9"/>
    <n v="0.169811320754716"/>
    <x v="4"/>
  </r>
  <r>
    <s v="RAL"/>
    <s v="ROYAL FREE LONDON NHS FOUNDATION TRUST"/>
    <s v="NCL"/>
    <x v="6"/>
    <n v="648"/>
    <n v="270"/>
    <n v="0.41666666666666602"/>
    <x v="4"/>
  </r>
  <r>
    <s v="RAL"/>
    <s v="ROYAL FREE LONDON NHS FOUNDATION TRUST"/>
    <s v="NCL"/>
    <x v="3"/>
    <n v="1625"/>
    <n v="475"/>
    <n v="0.29230769230769199"/>
    <x v="4"/>
  </r>
  <r>
    <s v="RAL"/>
    <s v="ROYAL FREE LONDON NHS FOUNDATION TRUST"/>
    <s v="NCL"/>
    <x v="0"/>
    <n v="733"/>
    <n v="232"/>
    <n v="0.31650750341064099"/>
    <x v="4"/>
  </r>
  <r>
    <s v="RAL"/>
    <s v="ROYAL FREE LONDON NHS FOUNDATION TRUST"/>
    <s v="NCL"/>
    <x v="5"/>
    <n v="1432"/>
    <n v="584"/>
    <n v="0.40782122905027901"/>
    <x v="4"/>
  </r>
  <r>
    <s v="RAL"/>
    <s v="ROYAL FREE LONDON NHS FOUNDATION TRUST"/>
    <s v="NCL"/>
    <x v="2"/>
    <n v="5712"/>
    <n v="2580"/>
    <n v="0.45168067226890701"/>
    <x v="4"/>
  </r>
  <r>
    <s v="RAL"/>
    <s v="ROYAL FREE LONDON NHS FOUNDATION TRUST"/>
    <s v="NCL"/>
    <x v="4"/>
    <n v="5191"/>
    <n v="1780"/>
    <n v="0.34290117511076801"/>
    <x v="4"/>
  </r>
  <r>
    <s v="RAL"/>
    <s v="ROYAL FREE LONDON NHS FOUNDATION TRUST"/>
    <s v="NCL"/>
    <x v="8"/>
    <n v="313"/>
    <n v="132"/>
    <n v="0.42172523961661301"/>
    <x v="4"/>
  </r>
  <r>
    <s v="RAN"/>
    <s v="ROYAL NATIONAL ORTHOPAEDIC HOSPITAL NHS TRUST"/>
    <s v="NCL"/>
    <x v="2"/>
    <n v="217"/>
    <n v="104"/>
    <n v="0.479262672811059"/>
    <x v="5"/>
  </r>
  <r>
    <s v="RAN"/>
    <s v="ROYAL NATIONAL ORTHOPAEDIC HOSPITAL NHS TRUST"/>
    <s v="NCL"/>
    <x v="7"/>
    <n v="149"/>
    <n v="51"/>
    <n v="0.34228187919462999"/>
    <x v="5"/>
  </r>
  <r>
    <s v="RAN"/>
    <s v="ROYAL NATIONAL ORTHOPAEDIC HOSPITAL NHS TRUST"/>
    <s v="NCL"/>
    <x v="3"/>
    <n v="1"/>
    <n v="0"/>
    <n v="0"/>
    <x v="5"/>
  </r>
  <r>
    <s v="RAN"/>
    <s v="ROYAL NATIONAL ORTHOPAEDIC HOSPITAL NHS TRUST"/>
    <s v="NCL"/>
    <x v="6"/>
    <n v="46"/>
    <n v="22"/>
    <n v="0.47826086956521702"/>
    <x v="5"/>
  </r>
  <r>
    <s v="RAN"/>
    <s v="ROYAL NATIONAL ORTHOPAEDIC HOSPITAL NHS TRUST"/>
    <s v="NCL"/>
    <x v="4"/>
    <n v="403"/>
    <n v="149"/>
    <n v="0.36972704714640198"/>
    <x v="5"/>
  </r>
  <r>
    <s v="RAN"/>
    <s v="ROYAL NATIONAL ORTHOPAEDIC HOSPITAL NHS TRUST"/>
    <s v="NCL"/>
    <x v="0"/>
    <n v="8"/>
    <n v="5"/>
    <n v="0.625"/>
    <x v="5"/>
  </r>
  <r>
    <s v="RAN"/>
    <s v="ROYAL NATIONAL ORTHOPAEDIC HOSPITAL NHS TRUST"/>
    <s v="NCL"/>
    <x v="5"/>
    <n v="158"/>
    <n v="80"/>
    <n v="0.50632911392405"/>
    <x v="5"/>
  </r>
  <r>
    <s v="RAN"/>
    <s v="ROYAL NATIONAL ORTHOPAEDIC HOSPITAL NHS TRUST"/>
    <s v="NCL"/>
    <x v="8"/>
    <n v="16"/>
    <n v="10"/>
    <n v="0.625"/>
    <x v="5"/>
  </r>
  <r>
    <s v="RNK"/>
    <s v="TAVISTOCK AND PORTMAN NHS FOUNDATION TRUST"/>
    <s v="NCL"/>
    <x v="6"/>
    <n v="211"/>
    <n v="96"/>
    <n v="0.45497630331753502"/>
    <x v="6"/>
  </r>
  <r>
    <s v="RNK"/>
    <s v="TAVISTOCK AND PORTMAN NHS FOUNDATION TRUST"/>
    <s v="NCL"/>
    <x v="3"/>
    <n v="27"/>
    <n v="9"/>
    <n v="0.33333333333333298"/>
    <x v="6"/>
  </r>
  <r>
    <s v="RNK"/>
    <s v="TAVISTOCK AND PORTMAN NHS FOUNDATION TRUST"/>
    <s v="NCL"/>
    <x v="7"/>
    <n v="247"/>
    <n v="108"/>
    <n v="0.437246963562753"/>
    <x v="6"/>
  </r>
  <r>
    <s v="RNK"/>
    <s v="TAVISTOCK AND PORTMAN NHS FOUNDATION TRUST"/>
    <s v="NCL"/>
    <x v="4"/>
    <n v="17"/>
    <n v="9"/>
    <n v="0.52941176470588203"/>
    <x v="6"/>
  </r>
  <r>
    <s v="RNK"/>
    <s v="TAVISTOCK AND PORTMAN NHS FOUNDATION TRUST"/>
    <s v="NCL"/>
    <x v="2"/>
    <n v="54"/>
    <n v="29"/>
    <n v="0.53703703703703698"/>
    <x v="6"/>
  </r>
  <r>
    <s v="RNK"/>
    <s v="TAVISTOCK AND PORTMAN NHS FOUNDATION TRUST"/>
    <s v="NCL"/>
    <x v="1"/>
    <n v="34"/>
    <n v="14"/>
    <n v="0.41176470588235198"/>
    <x v="6"/>
  </r>
  <r>
    <s v="RNK"/>
    <s v="TAVISTOCK AND PORTMAN NHS FOUNDATION TRUST"/>
    <s v="NCL"/>
    <x v="0"/>
    <n v="6"/>
    <n v="1"/>
    <n v="0.16666666666666599"/>
    <x v="6"/>
  </r>
  <r>
    <s v="RNK"/>
    <s v="TAVISTOCK AND PORTMAN NHS FOUNDATION TRUST"/>
    <s v="NCL"/>
    <x v="5"/>
    <n v="8"/>
    <n v="3"/>
    <n v="0.375"/>
    <x v="6"/>
  </r>
  <r>
    <s v="RRV"/>
    <s v="UNIVERSITY COLLEGE LONDON HOSPITALS NHS FOUNDATION TRUST"/>
    <s v="NCL"/>
    <x v="8"/>
    <n v="322"/>
    <n v="157"/>
    <n v="0.48757763975155199"/>
    <x v="7"/>
  </r>
  <r>
    <s v="RRV"/>
    <s v="UNIVERSITY COLLEGE LONDON HOSPITALS NHS FOUNDATION TRUST"/>
    <s v="NCL"/>
    <x v="7"/>
    <n v="1091"/>
    <n v="343"/>
    <n v="0.31439046746104399"/>
    <x v="7"/>
  </r>
  <r>
    <s v="RRV"/>
    <s v="UNIVERSITY COLLEGE LONDON HOSPITALS NHS FOUNDATION TRUST"/>
    <s v="NCL"/>
    <x v="2"/>
    <n v="2606"/>
    <n v="1355"/>
    <n v="0.51995395241749798"/>
    <x v="7"/>
  </r>
  <r>
    <s v="RRV"/>
    <s v="UNIVERSITY COLLEGE LONDON HOSPITALS NHS FOUNDATION TRUST"/>
    <s v="NCL"/>
    <x v="3"/>
    <n v="22"/>
    <n v="5"/>
    <n v="0.22727272727272699"/>
    <x v="7"/>
  </r>
  <r>
    <s v="RRV"/>
    <s v="UNIVERSITY COLLEGE LONDON HOSPITALS NHS FOUNDATION TRUST"/>
    <s v="NCL"/>
    <x v="0"/>
    <n v="143"/>
    <n v="40"/>
    <n v="0.27972027972027902"/>
    <x v="7"/>
  </r>
  <r>
    <s v="RRV"/>
    <s v="UNIVERSITY COLLEGE LONDON HOSPITALS NHS FOUNDATION TRUST"/>
    <s v="NCL"/>
    <x v="1"/>
    <n v="57"/>
    <n v="15"/>
    <n v="0.26315789473684198"/>
    <x v="7"/>
  </r>
  <r>
    <s v="RRV"/>
    <s v="UNIVERSITY COLLEGE LONDON HOSPITALS NHS FOUNDATION TRUST"/>
    <s v="NCL"/>
    <x v="4"/>
    <n v="2875"/>
    <n v="1176"/>
    <n v="0.40904347826086901"/>
    <x v="7"/>
  </r>
  <r>
    <s v="RRV"/>
    <s v="UNIVERSITY COLLEGE LONDON HOSPITALS NHS FOUNDATION TRUST"/>
    <s v="NCL"/>
    <x v="5"/>
    <n v="738"/>
    <n v="367"/>
    <n v="0.49728997289972898"/>
    <x v="7"/>
  </r>
  <r>
    <s v="RRV"/>
    <s v="UNIVERSITY COLLEGE LONDON HOSPITALS NHS FOUNDATION TRUST"/>
    <s v="NCL"/>
    <x v="6"/>
    <n v="411"/>
    <n v="180"/>
    <n v="0.43795620437956201"/>
    <x v="7"/>
  </r>
  <r>
    <s v="RKE"/>
    <s v="WHITTINGTON HEALTH NHS TRUST"/>
    <s v="NCL"/>
    <x v="4"/>
    <n v="1071"/>
    <n v="398"/>
    <n v="0.371615312791783"/>
    <x v="8"/>
  </r>
  <r>
    <s v="RKE"/>
    <s v="WHITTINGTON HEALTH NHS TRUST"/>
    <s v="NCL"/>
    <x v="1"/>
    <n v="19"/>
    <n v="7"/>
    <n v="0.36842105263157798"/>
    <x v="8"/>
  </r>
  <r>
    <s v="RKE"/>
    <s v="WHITTINGTON HEALTH NHS TRUST"/>
    <s v="NCL"/>
    <x v="7"/>
    <n v="573"/>
    <n v="155"/>
    <n v="0.27050610820244297"/>
    <x v="8"/>
  </r>
  <r>
    <s v="RKE"/>
    <s v="WHITTINGTON HEALTH NHS TRUST"/>
    <s v="NCL"/>
    <x v="2"/>
    <n v="436"/>
    <n v="263"/>
    <n v="0.60321100917431103"/>
    <x v="8"/>
  </r>
  <r>
    <s v="RKE"/>
    <s v="WHITTINGTON HEALTH NHS TRUST"/>
    <s v="NCL"/>
    <x v="0"/>
    <n v="46"/>
    <n v="6"/>
    <n v="0.13043478260869501"/>
    <x v="8"/>
  </r>
  <r>
    <s v="RKE"/>
    <s v="WHITTINGTON HEALTH NHS TRUST"/>
    <s v="NCL"/>
    <x v="8"/>
    <n v="42"/>
    <n v="13"/>
    <n v="0.30952380952380898"/>
    <x v="8"/>
  </r>
  <r>
    <s v="RKE"/>
    <s v="WHITTINGTON HEALTH NHS TRUST"/>
    <s v="NCL"/>
    <x v="3"/>
    <n v="1"/>
    <n v="1"/>
    <n v="1"/>
    <x v="8"/>
  </r>
  <r>
    <s v="RKE"/>
    <s v="WHITTINGTON HEALTH NHS TRUST"/>
    <s v="NCL"/>
    <x v="5"/>
    <n v="473"/>
    <n v="210"/>
    <n v="0.44397463002114101"/>
    <x v="8"/>
  </r>
  <r>
    <s v="RKE"/>
    <s v="WHITTINGTON HEALTH NHS TRUST"/>
    <s v="NCL"/>
    <x v="6"/>
    <n v="295"/>
    <n v="117"/>
    <n v="0.396610169491525"/>
    <x v="8"/>
  </r>
  <r>
    <s v="RF4"/>
    <s v="BARKING, HAVERING AND REDBRIDGE UNIVERSITY HOSPITALS NHS TRUST"/>
    <s v="NEL"/>
    <x v="8"/>
    <n v="89"/>
    <n v="30"/>
    <n v="0.33707865168539303"/>
    <x v="9"/>
  </r>
  <r>
    <s v="RF4"/>
    <s v="BARKING, HAVERING AND REDBRIDGE UNIVERSITY HOSPITALS NHS TRUST"/>
    <s v="NEL"/>
    <x v="7"/>
    <n v="1718"/>
    <n v="590"/>
    <n v="0.34342258440046503"/>
    <x v="9"/>
  </r>
  <r>
    <s v="RF4"/>
    <s v="BARKING, HAVERING AND REDBRIDGE UNIVERSITY HOSPITALS NHS TRUST"/>
    <s v="NEL"/>
    <x v="5"/>
    <n v="515"/>
    <n v="206"/>
    <n v="0.4"/>
    <x v="9"/>
  </r>
  <r>
    <s v="RF4"/>
    <s v="BARKING, HAVERING AND REDBRIDGE UNIVERSITY HOSPITALS NHS TRUST"/>
    <s v="NEL"/>
    <x v="3"/>
    <n v="86"/>
    <n v="41"/>
    <n v="0.47674418604651098"/>
    <x v="9"/>
  </r>
  <r>
    <s v="RF4"/>
    <s v="BARKING, HAVERING AND REDBRIDGE UNIVERSITY HOSPITALS NHS TRUST"/>
    <s v="NEL"/>
    <x v="4"/>
    <n v="2583"/>
    <n v="1000"/>
    <n v="0.38714672861014299"/>
    <x v="9"/>
  </r>
  <r>
    <s v="RF4"/>
    <s v="BARKING, HAVERING AND REDBRIDGE UNIVERSITY HOSPITALS NHS TRUST"/>
    <s v="NEL"/>
    <x v="6"/>
    <n v="262"/>
    <n v="103"/>
    <n v="0.39312977099236601"/>
    <x v="9"/>
  </r>
  <r>
    <s v="RF4"/>
    <s v="BARKING, HAVERING AND REDBRIDGE UNIVERSITY HOSPITALS NHS TRUST"/>
    <s v="NEL"/>
    <x v="2"/>
    <n v="1674"/>
    <n v="768"/>
    <n v="0.45878136200716801"/>
    <x v="9"/>
  </r>
  <r>
    <s v="RF4"/>
    <s v="BARKING, HAVERING AND REDBRIDGE UNIVERSITY HOSPITALS NHS TRUST"/>
    <s v="NEL"/>
    <x v="1"/>
    <n v="40"/>
    <n v="9"/>
    <n v="0.22500000000000001"/>
    <x v="9"/>
  </r>
  <r>
    <s v="RF4"/>
    <s v="BARKING, HAVERING AND REDBRIDGE UNIVERSITY HOSPITALS NHS TRUST"/>
    <s v="NEL"/>
    <x v="0"/>
    <n v="0"/>
    <n v="0"/>
    <m/>
    <x v="9"/>
  </r>
  <r>
    <s v="R1H"/>
    <s v="BARTS HEALTH NHS TRUST"/>
    <s v="NEL"/>
    <x v="8"/>
    <n v="332"/>
    <n v="146"/>
    <n v="0.43975903614457801"/>
    <x v="10"/>
  </r>
  <r>
    <s v="R1H"/>
    <s v="BARTS HEALTH NHS TRUST"/>
    <s v="NEL"/>
    <x v="3"/>
    <n v="1282"/>
    <n v="262"/>
    <n v="0.20436817472698901"/>
    <x v="10"/>
  </r>
  <r>
    <s v="R1H"/>
    <s v="BARTS HEALTH NHS TRUST"/>
    <s v="NEL"/>
    <x v="7"/>
    <n v="3285"/>
    <n v="835"/>
    <n v="0.25418569254185602"/>
    <x v="10"/>
  </r>
  <r>
    <s v="R1H"/>
    <s v="BARTS HEALTH NHS TRUST"/>
    <s v="NEL"/>
    <x v="0"/>
    <n v="1464"/>
    <n v="376"/>
    <n v="0.25683060109289602"/>
    <x v="10"/>
  </r>
  <r>
    <s v="R1H"/>
    <s v="BARTS HEALTH NHS TRUST"/>
    <s v="NEL"/>
    <x v="5"/>
    <n v="1687"/>
    <n v="578"/>
    <n v="0.342620035566093"/>
    <x v="10"/>
  </r>
  <r>
    <s v="R1H"/>
    <s v="BARTS HEALTH NHS TRUST"/>
    <s v="NEL"/>
    <x v="1"/>
    <n v="29"/>
    <n v="5"/>
    <n v="0.17241379310344801"/>
    <x v="10"/>
  </r>
  <r>
    <s v="R1H"/>
    <s v="BARTS HEALTH NHS TRUST"/>
    <s v="NEL"/>
    <x v="6"/>
    <n v="939"/>
    <n v="268"/>
    <n v="0.28541001064962701"/>
    <x v="10"/>
  </r>
  <r>
    <s v="R1H"/>
    <s v="BARTS HEALTH NHS TRUST"/>
    <s v="NEL"/>
    <x v="4"/>
    <n v="5905"/>
    <n v="1913"/>
    <n v="0.32396274343776399"/>
    <x v="10"/>
  </r>
  <r>
    <s v="R1H"/>
    <s v="BARTS HEALTH NHS TRUST"/>
    <s v="NEL"/>
    <x v="2"/>
    <n v="6501"/>
    <n v="3006"/>
    <n v="0.46239040147669502"/>
    <x v="10"/>
  </r>
  <r>
    <s v="RWK"/>
    <s v="EAST LONDON NHS FOUNDATION TRUST"/>
    <s v="NEL"/>
    <x v="3"/>
    <n v="24"/>
    <n v="9"/>
    <n v="0.375"/>
    <x v="11"/>
  </r>
  <r>
    <s v="RWK"/>
    <s v="EAST LONDON NHS FOUNDATION TRUST"/>
    <s v="NEL"/>
    <x v="7"/>
    <n v="2829"/>
    <n v="714"/>
    <n v="0.25238600212089002"/>
    <x v="11"/>
  </r>
  <r>
    <s v="RWK"/>
    <s v="EAST LONDON NHS FOUNDATION TRUST"/>
    <s v="NEL"/>
    <x v="6"/>
    <n v="949"/>
    <n v="373"/>
    <n v="0.39304531085353001"/>
    <x v="11"/>
  </r>
  <r>
    <s v="RWK"/>
    <s v="EAST LONDON NHS FOUNDATION TRUST"/>
    <s v="NEL"/>
    <x v="4"/>
    <n v="1994"/>
    <n v="625"/>
    <n v="0.31344032096288799"/>
    <x v="11"/>
  </r>
  <r>
    <s v="RWK"/>
    <s v="EAST LONDON NHS FOUNDATION TRUST"/>
    <s v="NEL"/>
    <x v="5"/>
    <n v="560"/>
    <n v="236"/>
    <n v="0.42142857142857099"/>
    <x v="11"/>
  </r>
  <r>
    <s v="RWK"/>
    <s v="EAST LONDON NHS FOUNDATION TRUST"/>
    <s v="NEL"/>
    <x v="2"/>
    <n v="706"/>
    <n v="314"/>
    <n v="0.44475920679886599"/>
    <x v="11"/>
  </r>
  <r>
    <s v="RWK"/>
    <s v="EAST LONDON NHS FOUNDATION TRUST"/>
    <s v="NEL"/>
    <x v="1"/>
    <n v="74"/>
    <n v="10"/>
    <n v="0.135135135135135"/>
    <x v="11"/>
  </r>
  <r>
    <s v="RWK"/>
    <s v="EAST LONDON NHS FOUNDATION TRUST"/>
    <s v="NEL"/>
    <x v="0"/>
    <n v="10"/>
    <n v="3"/>
    <n v="0.3"/>
    <x v="11"/>
  </r>
  <r>
    <s v="RQX"/>
    <s v="HOMERTON HEALTHCARE NHS FOUNDATION TRUST"/>
    <s v="NEL"/>
    <x v="6"/>
    <n v="208"/>
    <n v="95"/>
    <n v="0.456730769230769"/>
    <x v="12"/>
  </r>
  <r>
    <s v="RQX"/>
    <s v="HOMERTON HEALTHCARE NHS FOUNDATION TRUST"/>
    <s v="NEL"/>
    <x v="4"/>
    <n v="1355"/>
    <n v="583"/>
    <n v="0.430258302583025"/>
    <x v="12"/>
  </r>
  <r>
    <s v="RQX"/>
    <s v="HOMERTON HEALTHCARE NHS FOUNDATION TRUST"/>
    <s v="NEL"/>
    <x v="0"/>
    <n v="28"/>
    <n v="15"/>
    <n v="0.53571428571428503"/>
    <x v="12"/>
  </r>
  <r>
    <s v="RQX"/>
    <s v="HOMERTON HEALTHCARE NHS FOUNDATION TRUST"/>
    <s v="NEL"/>
    <x v="5"/>
    <n v="440"/>
    <n v="249"/>
    <n v="0.56590909090909003"/>
    <x v="12"/>
  </r>
  <r>
    <s v="RQX"/>
    <s v="HOMERTON HEALTHCARE NHS FOUNDATION TRUST"/>
    <s v="NEL"/>
    <x v="2"/>
    <n v="909"/>
    <n v="537"/>
    <n v="0.59075907590759003"/>
    <x v="12"/>
  </r>
  <r>
    <s v="RQX"/>
    <s v="HOMERTON HEALTHCARE NHS FOUNDATION TRUST"/>
    <s v="NEL"/>
    <x v="3"/>
    <n v="66"/>
    <n v="15"/>
    <n v="0.22727272727272699"/>
    <x v="12"/>
  </r>
  <r>
    <s v="RQX"/>
    <s v="HOMERTON HEALTHCARE NHS FOUNDATION TRUST"/>
    <s v="NEL"/>
    <x v="7"/>
    <n v="613"/>
    <n v="185"/>
    <n v="0.30179445350734002"/>
    <x v="12"/>
  </r>
  <r>
    <s v="RQX"/>
    <s v="HOMERTON HEALTHCARE NHS FOUNDATION TRUST"/>
    <s v="NEL"/>
    <x v="1"/>
    <n v="19"/>
    <n v="5"/>
    <n v="0.26315789473684198"/>
    <x v="12"/>
  </r>
  <r>
    <s v="RQX"/>
    <s v="HOMERTON HEALTHCARE NHS FOUNDATION TRUST"/>
    <s v="NEL"/>
    <x v="8"/>
    <n v="29"/>
    <n v="6"/>
    <n v="0.20689655172413701"/>
    <x v="12"/>
  </r>
  <r>
    <s v="RAT"/>
    <s v="NORTH EAST LONDON NHS FOUNDATION TRUST"/>
    <s v="NEL"/>
    <x v="1"/>
    <n v="13"/>
    <n v="4"/>
    <n v="0.30769230769230699"/>
    <x v="13"/>
  </r>
  <r>
    <s v="RAT"/>
    <s v="NORTH EAST LONDON NHS FOUNDATION TRUST"/>
    <s v="NEL"/>
    <x v="7"/>
    <n v="1526"/>
    <n v="441"/>
    <n v="0.28899082568807299"/>
    <x v="13"/>
  </r>
  <r>
    <s v="RAT"/>
    <s v="NORTH EAST LONDON NHS FOUNDATION TRUST"/>
    <s v="NEL"/>
    <x v="0"/>
    <n v="16"/>
    <n v="3"/>
    <n v="0.1875"/>
    <x v="13"/>
  </r>
  <r>
    <s v="RAT"/>
    <s v="NORTH EAST LONDON NHS FOUNDATION TRUST"/>
    <s v="NEL"/>
    <x v="5"/>
    <n v="713"/>
    <n v="265"/>
    <n v="0.37166900420757298"/>
    <x v="13"/>
  </r>
  <r>
    <s v="RAT"/>
    <s v="NORTH EAST LONDON NHS FOUNDATION TRUST"/>
    <s v="NEL"/>
    <x v="3"/>
    <n v="195"/>
    <n v="65"/>
    <n v="0.33333333333333298"/>
    <x v="13"/>
  </r>
  <r>
    <s v="RAT"/>
    <s v="NORTH EAST LONDON NHS FOUNDATION TRUST"/>
    <s v="NEL"/>
    <x v="6"/>
    <n v="922"/>
    <n v="316"/>
    <n v="0.342733188720173"/>
    <x v="13"/>
  </r>
  <r>
    <s v="RAT"/>
    <s v="NORTH EAST LONDON NHS FOUNDATION TRUST"/>
    <s v="NEL"/>
    <x v="8"/>
    <n v="3"/>
    <n v="1"/>
    <n v="0.33333333333333298"/>
    <x v="13"/>
  </r>
  <r>
    <s v="RAT"/>
    <s v="NORTH EAST LONDON NHS FOUNDATION TRUST"/>
    <s v="NEL"/>
    <x v="2"/>
    <n v="441"/>
    <n v="189"/>
    <n v="0.42857142857142799"/>
    <x v="13"/>
  </r>
  <r>
    <s v="RAT"/>
    <s v="NORTH EAST LONDON NHS FOUNDATION TRUST"/>
    <s v="NEL"/>
    <x v="4"/>
    <n v="2214"/>
    <n v="697"/>
    <n v="0.31481481481481399"/>
    <x v="13"/>
  </r>
  <r>
    <s v="RYX"/>
    <s v="CENTRAL LONDON COMMUNITY HEALTHCARE NHS TRUST"/>
    <s v="NWL"/>
    <x v="2"/>
    <n v="137"/>
    <n v="66"/>
    <n v="0.48175182481751799"/>
    <x v="14"/>
  </r>
  <r>
    <s v="RYX"/>
    <s v="CENTRAL LONDON COMMUNITY HEALTHCARE NHS TRUST"/>
    <s v="NWL"/>
    <x v="5"/>
    <n v="814"/>
    <n v="348"/>
    <n v="0.427518427518427"/>
    <x v="14"/>
  </r>
  <r>
    <s v="RYX"/>
    <s v="CENTRAL LONDON COMMUNITY HEALTHCARE NHS TRUST"/>
    <s v="NWL"/>
    <x v="7"/>
    <n v="876"/>
    <n v="265"/>
    <n v="0.30251141552511401"/>
    <x v="14"/>
  </r>
  <r>
    <s v="RYX"/>
    <s v="CENTRAL LONDON COMMUNITY HEALTHCARE NHS TRUST"/>
    <s v="NWL"/>
    <x v="4"/>
    <n v="1836"/>
    <n v="681"/>
    <n v="0.37091503267973802"/>
    <x v="14"/>
  </r>
  <r>
    <s v="RYX"/>
    <s v="CENTRAL LONDON COMMUNITY HEALTHCARE NHS TRUST"/>
    <s v="NWL"/>
    <x v="3"/>
    <n v="322"/>
    <n v="132"/>
    <n v="0.40993788819875698"/>
    <x v="14"/>
  </r>
  <r>
    <s v="RYX"/>
    <s v="CENTRAL LONDON COMMUNITY HEALTHCARE NHS TRUST"/>
    <s v="NWL"/>
    <x v="1"/>
    <n v="40"/>
    <n v="13"/>
    <n v="0.32500000000000001"/>
    <x v="14"/>
  </r>
  <r>
    <s v="RYX"/>
    <s v="CENTRAL LONDON COMMUNITY HEALTHCARE NHS TRUST"/>
    <s v="NWL"/>
    <x v="6"/>
    <n v="93"/>
    <n v="35"/>
    <n v="0.37634408602150499"/>
    <x v="14"/>
  </r>
  <r>
    <s v="RYX"/>
    <s v="CENTRAL LONDON COMMUNITY HEALTHCARE NHS TRUST"/>
    <s v="NWL"/>
    <x v="0"/>
    <n v="1"/>
    <n v="0"/>
    <n v="0"/>
    <x v="14"/>
  </r>
  <r>
    <s v="RQM"/>
    <s v="CHELSEA AND WESTMINSTER HOSPITAL NHS FOUNDATION TRUST"/>
    <s v="NWL"/>
    <x v="6"/>
    <n v="198"/>
    <n v="94"/>
    <n v="0.47474747474747397"/>
    <x v="15"/>
  </r>
  <r>
    <s v="RQM"/>
    <s v="CHELSEA AND WESTMINSTER HOSPITAL NHS FOUNDATION TRUST"/>
    <s v="NWL"/>
    <x v="4"/>
    <n v="1835"/>
    <n v="819"/>
    <n v="0.44632152588555801"/>
    <x v="15"/>
  </r>
  <r>
    <s v="RQM"/>
    <s v="CHELSEA AND WESTMINSTER HOSPITAL NHS FOUNDATION TRUST"/>
    <s v="NWL"/>
    <x v="2"/>
    <n v="1381"/>
    <n v="730"/>
    <n v="0.52860246198406902"/>
    <x v="15"/>
  </r>
  <r>
    <s v="RQM"/>
    <s v="CHELSEA AND WESTMINSTER HOSPITAL NHS FOUNDATION TRUST"/>
    <s v="NWL"/>
    <x v="7"/>
    <n v="833"/>
    <n v="264"/>
    <n v="0.31692677070828301"/>
    <x v="15"/>
  </r>
  <r>
    <s v="RQM"/>
    <s v="CHELSEA AND WESTMINSTER HOSPITAL NHS FOUNDATION TRUST"/>
    <s v="NWL"/>
    <x v="8"/>
    <n v="21"/>
    <n v="7"/>
    <n v="0.33333333333333298"/>
    <x v="15"/>
  </r>
  <r>
    <s v="RQM"/>
    <s v="CHELSEA AND WESTMINSTER HOSPITAL NHS FOUNDATION TRUST"/>
    <s v="NWL"/>
    <x v="0"/>
    <n v="1"/>
    <n v="1"/>
    <n v="1"/>
    <x v="15"/>
  </r>
  <r>
    <s v="RQM"/>
    <s v="CHELSEA AND WESTMINSTER HOSPITAL NHS FOUNDATION TRUST"/>
    <s v="NWL"/>
    <x v="5"/>
    <n v="314"/>
    <n v="143"/>
    <n v="0.45541401273885301"/>
    <x v="15"/>
  </r>
  <r>
    <s v="RQM"/>
    <s v="CHELSEA AND WESTMINSTER HOSPITAL NHS FOUNDATION TRUST"/>
    <s v="NWL"/>
    <x v="3"/>
    <n v="309"/>
    <n v="111"/>
    <n v="0.35922330097087302"/>
    <x v="15"/>
  </r>
  <r>
    <s v="RQM"/>
    <s v="CHELSEA AND WESTMINSTER HOSPITAL NHS FOUNDATION TRUST"/>
    <s v="NWL"/>
    <x v="1"/>
    <n v="5"/>
    <n v="2"/>
    <n v="0.4"/>
    <x v="15"/>
  </r>
  <r>
    <s v="RYJ"/>
    <s v="IMPERIAL COLLEGE HEALTHCARE NHS TRUST"/>
    <s v="NWL"/>
    <x v="4"/>
    <n v="4398"/>
    <n v="1568"/>
    <n v="0.35652569349704399"/>
    <x v="16"/>
  </r>
  <r>
    <s v="RYJ"/>
    <s v="IMPERIAL COLLEGE HEALTHCARE NHS TRUST"/>
    <s v="NWL"/>
    <x v="8"/>
    <n v="706"/>
    <n v="229"/>
    <n v="0.32436260623229402"/>
    <x v="16"/>
  </r>
  <r>
    <s v="RYJ"/>
    <s v="IMPERIAL COLLEGE HEALTHCARE NHS TRUST"/>
    <s v="NWL"/>
    <x v="0"/>
    <n v="986"/>
    <n v="274"/>
    <n v="0.27789046653144001"/>
    <x v="16"/>
  </r>
  <r>
    <s v="RYJ"/>
    <s v="IMPERIAL COLLEGE HEALTHCARE NHS TRUST"/>
    <s v="NWL"/>
    <x v="1"/>
    <n v="8"/>
    <n v="2"/>
    <n v="0.25"/>
    <x v="16"/>
  </r>
  <r>
    <s v="RYJ"/>
    <s v="IMPERIAL COLLEGE HEALTHCARE NHS TRUST"/>
    <s v="NWL"/>
    <x v="7"/>
    <n v="1402"/>
    <n v="363"/>
    <n v="0.25891583452211098"/>
    <x v="16"/>
  </r>
  <r>
    <s v="RYJ"/>
    <s v="IMPERIAL COLLEGE HEALTHCARE NHS TRUST"/>
    <s v="NWL"/>
    <x v="2"/>
    <n v="3077"/>
    <n v="1483"/>
    <n v="0.48196295092622599"/>
    <x v="16"/>
  </r>
  <r>
    <s v="RYJ"/>
    <s v="IMPERIAL COLLEGE HEALTHCARE NHS TRUST"/>
    <s v="NWL"/>
    <x v="5"/>
    <n v="715"/>
    <n v="298"/>
    <n v="0.416783216783216"/>
    <x v="16"/>
  </r>
  <r>
    <s v="RYJ"/>
    <s v="IMPERIAL COLLEGE HEALTHCARE NHS TRUST"/>
    <s v="NWL"/>
    <x v="3"/>
    <n v="22"/>
    <n v="6"/>
    <n v="0.27272727272727199"/>
    <x v="16"/>
  </r>
  <r>
    <s v="RYJ"/>
    <s v="IMPERIAL COLLEGE HEALTHCARE NHS TRUST"/>
    <s v="NWL"/>
    <x v="6"/>
    <n v="237"/>
    <n v="90"/>
    <n v="0.379746835443038"/>
    <x v="16"/>
  </r>
  <r>
    <s v="RRU"/>
    <s v="LONDON AMBULANCE SERVICE NHS TRUST"/>
    <s v="NWL"/>
    <x v="4"/>
    <n v="23"/>
    <n v="9"/>
    <n v="0.39130434782608697"/>
    <x v="17"/>
  </r>
  <r>
    <s v="RRU"/>
    <s v="LONDON AMBULANCE SERVICE NHS TRUST"/>
    <s v="NWL"/>
    <x v="7"/>
    <n v="1385"/>
    <n v="643"/>
    <n v="0.46425992779783298"/>
    <x v="17"/>
  </r>
  <r>
    <s v="RRU"/>
    <s v="LONDON AMBULANCE SERVICE NHS TRUST"/>
    <s v="NWL"/>
    <x v="5"/>
    <n v="2247"/>
    <n v="1171"/>
    <n v="0.52113929684023097"/>
    <x v="17"/>
  </r>
  <r>
    <s v="RRU"/>
    <s v="LONDON AMBULANCE SERVICE NHS TRUST"/>
    <s v="NWL"/>
    <x v="0"/>
    <n v="0"/>
    <n v="0"/>
    <m/>
    <x v="17"/>
  </r>
  <r>
    <s v="RRU"/>
    <s v="LONDON AMBULANCE SERVICE NHS TRUST"/>
    <s v="NWL"/>
    <x v="3"/>
    <n v="47"/>
    <n v="26"/>
    <n v="0.55319148936170204"/>
    <x v="17"/>
  </r>
  <r>
    <s v="RRU"/>
    <s v="LONDON AMBULANCE SERVICE NHS TRUST"/>
    <s v="NWL"/>
    <x v="2"/>
    <n v="4"/>
    <n v="3"/>
    <n v="0.75"/>
    <x v="17"/>
  </r>
  <r>
    <s v="RRU"/>
    <s v="LONDON AMBULANCE SERVICE NHS TRUST"/>
    <s v="NWL"/>
    <x v="6"/>
    <n v="0"/>
    <n v="0"/>
    <m/>
    <x v="17"/>
  </r>
  <r>
    <s v="R1K"/>
    <s v="LONDON NORTH WEST UNIVERSITY HEALTHCARE NHS TRUST"/>
    <s v="NWL"/>
    <x v="0"/>
    <n v="66"/>
    <n v="20"/>
    <n v="0.30303030303030298"/>
    <x v="18"/>
  </r>
  <r>
    <s v="R1K"/>
    <s v="LONDON NORTH WEST UNIVERSITY HEALTHCARE NHS TRUST"/>
    <s v="NWL"/>
    <x v="5"/>
    <n v="320"/>
    <n v="133"/>
    <n v="0.41562500000000002"/>
    <x v="18"/>
  </r>
  <r>
    <s v="R1K"/>
    <s v="LONDON NORTH WEST UNIVERSITY HEALTHCARE NHS TRUST"/>
    <s v="NWL"/>
    <x v="6"/>
    <n v="190"/>
    <n v="71"/>
    <n v="0.37368421052631501"/>
    <x v="18"/>
  </r>
  <r>
    <s v="R1K"/>
    <s v="LONDON NORTH WEST UNIVERSITY HEALTHCARE NHS TRUST"/>
    <s v="NWL"/>
    <x v="7"/>
    <n v="550"/>
    <n v="160"/>
    <n v="0.29090909090909001"/>
    <x v="18"/>
  </r>
  <r>
    <s v="R1K"/>
    <s v="LONDON NORTH WEST UNIVERSITY HEALTHCARE NHS TRUST"/>
    <s v="NWL"/>
    <x v="8"/>
    <n v="48"/>
    <n v="18"/>
    <n v="0.375"/>
    <x v="18"/>
  </r>
  <r>
    <s v="R1K"/>
    <s v="LONDON NORTH WEST UNIVERSITY HEALTHCARE NHS TRUST"/>
    <s v="NWL"/>
    <x v="4"/>
    <n v="1784"/>
    <n v="752"/>
    <n v="0.42152466367712998"/>
    <x v="18"/>
  </r>
  <r>
    <s v="R1K"/>
    <s v="LONDON NORTH WEST UNIVERSITY HEALTHCARE NHS TRUST"/>
    <s v="NWL"/>
    <x v="3"/>
    <n v="61"/>
    <n v="17"/>
    <n v="0.27868852459016302"/>
    <x v="18"/>
  </r>
  <r>
    <s v="R1K"/>
    <s v="LONDON NORTH WEST UNIVERSITY HEALTHCARE NHS TRUST"/>
    <s v="NWL"/>
    <x v="2"/>
    <n v="1210"/>
    <n v="616"/>
    <n v="0.50909090909090904"/>
    <x v="18"/>
  </r>
  <r>
    <s v="R1K"/>
    <s v="LONDON NORTH WEST UNIVERSITY HEALTHCARE NHS TRUST"/>
    <s v="NWL"/>
    <x v="1"/>
    <n v="1"/>
    <n v="0"/>
    <n v="0"/>
    <x v="18"/>
  </r>
  <r>
    <s v="RAS"/>
    <s v="THE HILLINGDON HOSPITALS NHS FOUNDATION TRUST"/>
    <s v="NWL"/>
    <x v="0"/>
    <n v="329"/>
    <n v="134"/>
    <n v="0.407294832826747"/>
    <x v="19"/>
  </r>
  <r>
    <s v="RAS"/>
    <s v="THE HILLINGDON HOSPITALS NHS FOUNDATION TRUST"/>
    <s v="NWL"/>
    <x v="7"/>
    <n v="557"/>
    <n v="170"/>
    <n v="0.305206463195691"/>
    <x v="19"/>
  </r>
  <r>
    <s v="RAS"/>
    <s v="THE HILLINGDON HOSPITALS NHS FOUNDATION TRUST"/>
    <s v="NWL"/>
    <x v="8"/>
    <n v="30"/>
    <n v="12"/>
    <n v="0.4"/>
    <x v="19"/>
  </r>
  <r>
    <s v="RAS"/>
    <s v="THE HILLINGDON HOSPITALS NHS FOUNDATION TRUST"/>
    <s v="NWL"/>
    <x v="3"/>
    <n v="48"/>
    <n v="17"/>
    <n v="0.35416666666666602"/>
    <x v="19"/>
  </r>
  <r>
    <s v="RAS"/>
    <s v="THE HILLINGDON HOSPITALS NHS FOUNDATION TRUST"/>
    <s v="NWL"/>
    <x v="6"/>
    <n v="91"/>
    <n v="26"/>
    <n v="0.28571428571428498"/>
    <x v="19"/>
  </r>
  <r>
    <s v="RAS"/>
    <s v="THE HILLINGDON HOSPITALS NHS FOUNDATION TRUST"/>
    <s v="NWL"/>
    <x v="5"/>
    <n v="248"/>
    <n v="78"/>
    <n v="0.31451612903225801"/>
    <x v="19"/>
  </r>
  <r>
    <s v="RAS"/>
    <s v="THE HILLINGDON HOSPITALS NHS FOUNDATION TRUST"/>
    <s v="NWL"/>
    <x v="2"/>
    <n v="681"/>
    <n v="269"/>
    <n v="0.39500734214390598"/>
    <x v="19"/>
  </r>
  <r>
    <s v="RAS"/>
    <s v="THE HILLINGDON HOSPITALS NHS FOUNDATION TRUST"/>
    <s v="NWL"/>
    <x v="4"/>
    <n v="1069"/>
    <n v="343"/>
    <n v="0.320860617399438"/>
    <x v="19"/>
  </r>
  <r>
    <s v="RAS"/>
    <s v="THE HILLINGDON HOSPITALS NHS FOUNDATION TRUST"/>
    <s v="NWL"/>
    <x v="1"/>
    <n v="0"/>
    <n v="0"/>
    <m/>
    <x v="19"/>
  </r>
  <r>
    <s v="RKL"/>
    <s v="WEST LONDON NHS TRUST"/>
    <s v="NWL"/>
    <x v="1"/>
    <n v="10"/>
    <n v="2"/>
    <n v="0.2"/>
    <x v="20"/>
  </r>
  <r>
    <s v="RKL"/>
    <s v="WEST LONDON NHS TRUST"/>
    <s v="NWL"/>
    <x v="7"/>
    <n v="1326"/>
    <n v="360"/>
    <n v="0.27149321266968302"/>
    <x v="20"/>
  </r>
  <r>
    <s v="RKL"/>
    <s v="WEST LONDON NHS TRUST"/>
    <s v="NWL"/>
    <x v="3"/>
    <n v="31"/>
    <n v="6"/>
    <n v="0.19354838709677399"/>
    <x v="20"/>
  </r>
  <r>
    <s v="RKL"/>
    <s v="WEST LONDON NHS TRUST"/>
    <s v="NWL"/>
    <x v="0"/>
    <n v="263"/>
    <n v="99"/>
    <n v="0.37642585551330798"/>
    <x v="20"/>
  </r>
  <r>
    <s v="RKL"/>
    <s v="WEST LONDON NHS TRUST"/>
    <s v="NWL"/>
    <x v="5"/>
    <n v="391"/>
    <n v="162"/>
    <n v="0.41432225063938599"/>
    <x v="20"/>
  </r>
  <r>
    <s v="RKL"/>
    <s v="WEST LONDON NHS TRUST"/>
    <s v="NWL"/>
    <x v="4"/>
    <n v="1334"/>
    <n v="467"/>
    <n v="0.35007496251873998"/>
    <x v="20"/>
  </r>
  <r>
    <s v="RKL"/>
    <s v="WEST LONDON NHS TRUST"/>
    <s v="NWL"/>
    <x v="6"/>
    <n v="583"/>
    <n v="227"/>
    <n v="0.38936535162950198"/>
    <x v="20"/>
  </r>
  <r>
    <s v="RKL"/>
    <s v="WEST LONDON NHS TRUST"/>
    <s v="NWL"/>
    <x v="2"/>
    <n v="314"/>
    <n v="151"/>
    <n v="0.48089171974522199"/>
    <x v="20"/>
  </r>
  <r>
    <s v="RKL"/>
    <s v="WEST LONDON NHS TRUST"/>
    <s v="NWL"/>
    <x v="8"/>
    <n v="6"/>
    <n v="1"/>
    <n v="0.16666666666666599"/>
    <x v="20"/>
  </r>
  <r>
    <s v="RJ1"/>
    <s v="GUY'S AND ST THOMAS' NHS FOUNDATION TRUST"/>
    <s v="SEL"/>
    <x v="0"/>
    <n v="1391"/>
    <n v="348"/>
    <n v="0.25017972681523998"/>
    <x v="21"/>
  </r>
  <r>
    <s v="RJ1"/>
    <s v="GUY'S AND ST THOMAS' NHS FOUNDATION TRUST"/>
    <s v="SEL"/>
    <x v="8"/>
    <n v="866"/>
    <n v="397"/>
    <n v="0.45842956120092299"/>
    <x v="21"/>
  </r>
  <r>
    <s v="RJ1"/>
    <s v="GUY'S AND ST THOMAS' NHS FOUNDATION TRUST"/>
    <s v="SEL"/>
    <x v="2"/>
    <n v="4001"/>
    <n v="2162"/>
    <n v="0.54036490877280596"/>
    <x v="21"/>
  </r>
  <r>
    <s v="RJ1"/>
    <s v="GUY'S AND ST THOMAS' NHS FOUNDATION TRUST"/>
    <s v="SEL"/>
    <x v="6"/>
    <n v="1079"/>
    <n v="469"/>
    <n v="0.43466172381835"/>
    <x v="21"/>
  </r>
  <r>
    <s v="RJ1"/>
    <s v="GUY'S AND ST THOMAS' NHS FOUNDATION TRUST"/>
    <s v="SEL"/>
    <x v="1"/>
    <n v="14"/>
    <n v="2"/>
    <n v="0.14285714285714199"/>
    <x v="21"/>
  </r>
  <r>
    <s v="RJ1"/>
    <s v="GUY'S AND ST THOMAS' NHS FOUNDATION TRUST"/>
    <s v="SEL"/>
    <x v="4"/>
    <n v="6216"/>
    <n v="2689"/>
    <n v="0.432593307593307"/>
    <x v="21"/>
  </r>
  <r>
    <s v="RJ1"/>
    <s v="GUY'S AND ST THOMAS' NHS FOUNDATION TRUST"/>
    <s v="SEL"/>
    <x v="3"/>
    <n v="56"/>
    <n v="26"/>
    <n v="0.46428571428571402"/>
    <x v="21"/>
  </r>
  <r>
    <s v="RJ1"/>
    <s v="GUY'S AND ST THOMAS' NHS FOUNDATION TRUST"/>
    <s v="SEL"/>
    <x v="7"/>
    <n v="2090"/>
    <n v="621"/>
    <n v="0.29712918660287002"/>
    <x v="21"/>
  </r>
  <r>
    <s v="RJ1"/>
    <s v="GUY'S AND ST THOMAS' NHS FOUNDATION TRUST"/>
    <s v="SEL"/>
    <x v="5"/>
    <n v="1387"/>
    <n v="773"/>
    <n v="0.55731795241528403"/>
    <x v="21"/>
  </r>
  <r>
    <s v="RJZ"/>
    <s v="KING'S COLLEGE HOSPITAL NHS FOUNDATION TRUST"/>
    <s v="SEL"/>
    <x v="0"/>
    <n v="48"/>
    <n v="19"/>
    <n v="0.39583333333333298"/>
    <x v="22"/>
  </r>
  <r>
    <s v="RJZ"/>
    <s v="KING'S COLLEGE HOSPITAL NHS FOUNDATION TRUST"/>
    <s v="SEL"/>
    <x v="7"/>
    <n v="1691"/>
    <n v="626"/>
    <n v="0.37019515079834397"/>
    <x v="22"/>
  </r>
  <r>
    <s v="RJZ"/>
    <s v="KING'S COLLEGE HOSPITAL NHS FOUNDATION TRUST"/>
    <s v="SEL"/>
    <x v="5"/>
    <n v="674"/>
    <n v="354"/>
    <n v="0.52522255192878298"/>
    <x v="22"/>
  </r>
  <r>
    <s v="RJZ"/>
    <s v="KING'S COLLEGE HOSPITAL NHS FOUNDATION TRUST"/>
    <s v="SEL"/>
    <x v="1"/>
    <n v="14"/>
    <n v="4"/>
    <n v="0.28571428571428498"/>
    <x v="22"/>
  </r>
  <r>
    <s v="RJZ"/>
    <s v="KING'S COLLEGE HOSPITAL NHS FOUNDATION TRUST"/>
    <s v="SEL"/>
    <x v="4"/>
    <n v="3964"/>
    <n v="1814"/>
    <n v="0.457618567103935"/>
    <x v="22"/>
  </r>
  <r>
    <s v="RJZ"/>
    <s v="KING'S COLLEGE HOSPITAL NHS FOUNDATION TRUST"/>
    <s v="SEL"/>
    <x v="3"/>
    <n v="16"/>
    <n v="4"/>
    <n v="0.25"/>
    <x v="22"/>
  </r>
  <r>
    <s v="RJZ"/>
    <s v="KING'S COLLEGE HOSPITAL NHS FOUNDATION TRUST"/>
    <s v="SEL"/>
    <x v="2"/>
    <n v="2503"/>
    <n v="1323"/>
    <n v="0.52856572113463796"/>
    <x v="22"/>
  </r>
  <r>
    <s v="RJZ"/>
    <s v="KING'S COLLEGE HOSPITAL NHS FOUNDATION TRUST"/>
    <s v="SEL"/>
    <x v="6"/>
    <n v="438"/>
    <n v="196"/>
    <n v="0.44748858447488499"/>
    <x v="22"/>
  </r>
  <r>
    <s v="RJZ"/>
    <s v="KING'S COLLEGE HOSPITAL NHS FOUNDATION TRUST"/>
    <s v="SEL"/>
    <x v="8"/>
    <n v="189"/>
    <n v="80"/>
    <n v="0.42328042328042298"/>
    <x v="22"/>
  </r>
  <r>
    <s v="RJ2"/>
    <s v="LEWISHAM AND GREENWICH NHS TRUST"/>
    <s v="SEL"/>
    <x v="2"/>
    <n v="1265"/>
    <n v="603"/>
    <n v="0.476679841897233"/>
    <x v="23"/>
  </r>
  <r>
    <s v="RJ2"/>
    <s v="LEWISHAM AND GREENWICH NHS TRUST"/>
    <s v="SEL"/>
    <x v="6"/>
    <n v="214"/>
    <n v="103"/>
    <n v="0.48130841121495299"/>
    <x v="23"/>
  </r>
  <r>
    <s v="RJ2"/>
    <s v="LEWISHAM AND GREENWICH NHS TRUST"/>
    <s v="SEL"/>
    <x v="8"/>
    <n v="79"/>
    <n v="19"/>
    <n v="0.240506329113924"/>
    <x v="23"/>
  </r>
  <r>
    <s v="RJ2"/>
    <s v="LEWISHAM AND GREENWICH NHS TRUST"/>
    <s v="SEL"/>
    <x v="4"/>
    <n v="2769"/>
    <n v="927"/>
    <n v="0.33477789815817899"/>
    <x v="23"/>
  </r>
  <r>
    <s v="RJ2"/>
    <s v="LEWISHAM AND GREENWICH NHS TRUST"/>
    <s v="SEL"/>
    <x v="3"/>
    <n v="162"/>
    <n v="49"/>
    <n v="0.30246913580246898"/>
    <x v="23"/>
  </r>
  <r>
    <s v="RJ2"/>
    <s v="LEWISHAM AND GREENWICH NHS TRUST"/>
    <s v="SEL"/>
    <x v="5"/>
    <n v="594"/>
    <n v="251"/>
    <n v="0.42255892255892202"/>
    <x v="23"/>
  </r>
  <r>
    <s v="RJ2"/>
    <s v="LEWISHAM AND GREENWICH NHS TRUST"/>
    <s v="SEL"/>
    <x v="7"/>
    <n v="1518"/>
    <n v="407"/>
    <n v="0.26811594202898498"/>
    <x v="23"/>
  </r>
  <r>
    <s v="RJ2"/>
    <s v="LEWISHAM AND GREENWICH NHS TRUST"/>
    <s v="SEL"/>
    <x v="0"/>
    <n v="32"/>
    <n v="7"/>
    <n v="0.21875"/>
    <x v="23"/>
  </r>
  <r>
    <s v="RJ2"/>
    <s v="LEWISHAM AND GREENWICH NHS TRUST"/>
    <s v="SEL"/>
    <x v="1"/>
    <n v="6"/>
    <n v="0"/>
    <n v="0"/>
    <x v="23"/>
  </r>
  <r>
    <s v="RPG"/>
    <s v="OXLEAS NHS FOUNDATION TRUST"/>
    <s v="SEL"/>
    <x v="3"/>
    <n v="2"/>
    <n v="0"/>
    <n v="0"/>
    <x v="24"/>
  </r>
  <r>
    <s v="RPG"/>
    <s v="OXLEAS NHS FOUNDATION TRUST"/>
    <s v="SEL"/>
    <x v="6"/>
    <n v="393"/>
    <n v="147"/>
    <n v="0.37404580152671701"/>
    <x v="24"/>
  </r>
  <r>
    <s v="RPG"/>
    <s v="OXLEAS NHS FOUNDATION TRUST"/>
    <s v="SEL"/>
    <x v="7"/>
    <n v="893"/>
    <n v="301"/>
    <n v="0.337066069428891"/>
    <x v="24"/>
  </r>
  <r>
    <s v="RPG"/>
    <s v="OXLEAS NHS FOUNDATION TRUST"/>
    <s v="SEL"/>
    <x v="8"/>
    <n v="0"/>
    <n v="0"/>
    <m/>
    <x v="24"/>
  </r>
  <r>
    <s v="RPG"/>
    <s v="OXLEAS NHS FOUNDATION TRUST"/>
    <s v="SEL"/>
    <x v="1"/>
    <n v="9"/>
    <n v="3"/>
    <n v="0.33333333333333298"/>
    <x v="24"/>
  </r>
  <r>
    <s v="RPG"/>
    <s v="OXLEAS NHS FOUNDATION TRUST"/>
    <s v="SEL"/>
    <x v="0"/>
    <n v="4"/>
    <n v="0"/>
    <n v="0"/>
    <x v="24"/>
  </r>
  <r>
    <s v="RPG"/>
    <s v="OXLEAS NHS FOUNDATION TRUST"/>
    <s v="SEL"/>
    <x v="5"/>
    <n v="368"/>
    <n v="163"/>
    <n v="0.44293478260869501"/>
    <x v="24"/>
  </r>
  <r>
    <s v="RPG"/>
    <s v="OXLEAS NHS FOUNDATION TRUST"/>
    <s v="SEL"/>
    <x v="4"/>
    <n v="1237"/>
    <n v="476"/>
    <n v="0.38480194017784902"/>
    <x v="24"/>
  </r>
  <r>
    <s v="RPG"/>
    <s v="OXLEAS NHS FOUNDATION TRUST"/>
    <s v="SEL"/>
    <x v="2"/>
    <n v="153"/>
    <n v="76"/>
    <n v="0.49673202614378997"/>
    <x v="24"/>
  </r>
  <r>
    <s v="RV5"/>
    <s v="SOUTH LONDON AND MAUDSLEY NHS FOUNDATION TRUST"/>
    <s v="SEL"/>
    <x v="5"/>
    <n v="178"/>
    <n v="86"/>
    <n v="0.48314606741573002"/>
    <x v="25"/>
  </r>
  <r>
    <s v="RV5"/>
    <s v="SOUTH LONDON AND MAUDSLEY NHS FOUNDATION TRUST"/>
    <s v="SEL"/>
    <x v="4"/>
    <n v="1096"/>
    <n v="366"/>
    <n v="0.33394160583941601"/>
    <x v="25"/>
  </r>
  <r>
    <s v="RV5"/>
    <s v="SOUTH LONDON AND MAUDSLEY NHS FOUNDATION TRUST"/>
    <s v="SEL"/>
    <x v="3"/>
    <n v="4"/>
    <n v="2"/>
    <n v="0.5"/>
    <x v="25"/>
  </r>
  <r>
    <s v="RV5"/>
    <s v="SOUTH LONDON AND MAUDSLEY NHS FOUNDATION TRUST"/>
    <s v="SEL"/>
    <x v="0"/>
    <n v="101"/>
    <n v="34"/>
    <n v="0.33663366336633599"/>
    <x v="25"/>
  </r>
  <r>
    <s v="RV5"/>
    <s v="SOUTH LONDON AND MAUDSLEY NHS FOUNDATION TRUST"/>
    <s v="SEL"/>
    <x v="1"/>
    <n v="14"/>
    <n v="7"/>
    <n v="0.5"/>
    <x v="25"/>
  </r>
  <r>
    <s v="RV5"/>
    <s v="SOUTH LONDON AND MAUDSLEY NHS FOUNDATION TRUST"/>
    <s v="SEL"/>
    <x v="7"/>
    <n v="897"/>
    <n v="228"/>
    <n v="0.25418060200668802"/>
    <x v="25"/>
  </r>
  <r>
    <s v="RV5"/>
    <s v="SOUTH LONDON AND MAUDSLEY NHS FOUNDATION TRUST"/>
    <s v="SEL"/>
    <x v="2"/>
    <n v="502"/>
    <n v="279"/>
    <n v="0.55577689243027795"/>
    <x v="25"/>
  </r>
  <r>
    <s v="RV5"/>
    <s v="SOUTH LONDON AND MAUDSLEY NHS FOUNDATION TRUST"/>
    <s v="SEL"/>
    <x v="6"/>
    <n v="1291"/>
    <n v="588"/>
    <n v="0.45546088303640497"/>
    <x v="25"/>
  </r>
  <r>
    <s v="RV5"/>
    <s v="SOUTH LONDON AND MAUDSLEY NHS FOUNDATION TRUST"/>
    <s v="SEL"/>
    <x v="8"/>
    <n v="5"/>
    <n v="2"/>
    <n v="0.4"/>
    <x v="25"/>
  </r>
  <r>
    <s v="RJ6"/>
    <s v="CROYDON HEALTH SERVICES NHS TRUST"/>
    <s v="SWL"/>
    <x v="1"/>
    <n v="13"/>
    <n v="0"/>
    <n v="0"/>
    <x v="26"/>
  </r>
  <r>
    <s v="RJ6"/>
    <s v="CROYDON HEALTH SERVICES NHS TRUST"/>
    <s v="SWL"/>
    <x v="4"/>
    <n v="1240"/>
    <n v="492"/>
    <n v="0.396774193548387"/>
    <x v="26"/>
  </r>
  <r>
    <s v="RJ6"/>
    <s v="CROYDON HEALTH SERVICES NHS TRUST"/>
    <s v="SWL"/>
    <x v="2"/>
    <n v="779"/>
    <n v="380"/>
    <n v="0.48780487804877998"/>
    <x v="26"/>
  </r>
  <r>
    <s v="RJ6"/>
    <s v="CROYDON HEALTH SERVICES NHS TRUST"/>
    <s v="SWL"/>
    <x v="6"/>
    <n v="132"/>
    <n v="59"/>
    <n v="0.44696969696969602"/>
    <x v="26"/>
  </r>
  <r>
    <s v="RJ6"/>
    <s v="CROYDON HEALTH SERVICES NHS TRUST"/>
    <s v="SWL"/>
    <x v="5"/>
    <n v="273"/>
    <n v="121"/>
    <n v="0.44322344322344298"/>
    <x v="26"/>
  </r>
  <r>
    <s v="RJ6"/>
    <s v="CROYDON HEALTH SERVICES NHS TRUST"/>
    <s v="SWL"/>
    <x v="7"/>
    <n v="653"/>
    <n v="213"/>
    <n v="0.32618683001531301"/>
    <x v="26"/>
  </r>
  <r>
    <s v="RJ6"/>
    <s v="CROYDON HEALTH SERVICES NHS TRUST"/>
    <s v="SWL"/>
    <x v="8"/>
    <n v="43"/>
    <n v="15"/>
    <n v="0.34883720930232498"/>
    <x v="26"/>
  </r>
  <r>
    <s v="RJ6"/>
    <s v="CROYDON HEALTH SERVICES NHS TRUST"/>
    <s v="SWL"/>
    <x v="0"/>
    <n v="130"/>
    <n v="46"/>
    <n v="0.35384615384615298"/>
    <x v="26"/>
  </r>
  <r>
    <s v="RJ6"/>
    <s v="CROYDON HEALTH SERVICES NHS TRUST"/>
    <s v="SWL"/>
    <x v="3"/>
    <n v="82"/>
    <n v="24"/>
    <n v="0.292682926829268"/>
    <x v="26"/>
  </r>
  <r>
    <s v="RVR"/>
    <s v="EPSOM AND ST HELIER UNIVERSITY HOSPITALS NHS TRUST"/>
    <s v="SWL"/>
    <x v="0"/>
    <n v="378"/>
    <n v="155"/>
    <n v="0.41005291005291"/>
    <x v="27"/>
  </r>
  <r>
    <s v="RVR"/>
    <s v="EPSOM AND ST HELIER UNIVERSITY HOSPITALS NHS TRUST"/>
    <s v="SWL"/>
    <x v="2"/>
    <n v="1088"/>
    <n v="599"/>
    <n v="0.55055147058823495"/>
    <x v="27"/>
  </r>
  <r>
    <s v="RVR"/>
    <s v="EPSOM AND ST HELIER UNIVERSITY HOSPITALS NHS TRUST"/>
    <s v="SWL"/>
    <x v="3"/>
    <n v="88"/>
    <n v="32"/>
    <n v="0.36363636363636298"/>
    <x v="27"/>
  </r>
  <r>
    <s v="RVR"/>
    <s v="EPSOM AND ST HELIER UNIVERSITY HOSPITALS NHS TRUST"/>
    <s v="SWL"/>
    <x v="6"/>
    <n v="132"/>
    <n v="64"/>
    <n v="0.48484848484848397"/>
    <x v="27"/>
  </r>
  <r>
    <s v="RVR"/>
    <s v="EPSOM AND ST HELIER UNIVERSITY HOSPITALS NHS TRUST"/>
    <s v="SWL"/>
    <x v="5"/>
    <n v="583"/>
    <n v="299"/>
    <n v="0.51286449399656897"/>
    <x v="27"/>
  </r>
  <r>
    <s v="RVR"/>
    <s v="EPSOM AND ST HELIER UNIVERSITY HOSPITALS NHS TRUST"/>
    <s v="SWL"/>
    <x v="7"/>
    <n v="1553"/>
    <n v="545"/>
    <n v="0.35093367675466802"/>
    <x v="27"/>
  </r>
  <r>
    <s v="RVR"/>
    <s v="EPSOM AND ST HELIER UNIVERSITY HOSPITALS NHS TRUST"/>
    <s v="SWL"/>
    <x v="4"/>
    <n v="2032"/>
    <n v="911"/>
    <n v="0.44832677165354301"/>
    <x v="27"/>
  </r>
  <r>
    <s v="RVR"/>
    <s v="EPSOM AND ST HELIER UNIVERSITY HOSPITALS NHS TRUST"/>
    <s v="SWL"/>
    <x v="8"/>
    <n v="73"/>
    <n v="43"/>
    <n v="0.58904109589041098"/>
    <x v="27"/>
  </r>
  <r>
    <s v="RVR"/>
    <s v="EPSOM AND ST HELIER UNIVERSITY HOSPITALS NHS TRUST"/>
    <s v="SWL"/>
    <x v="1"/>
    <n v="7"/>
    <n v="1"/>
    <n v="0.14285714285714199"/>
    <x v="27"/>
  </r>
  <r>
    <s v="RAX"/>
    <s v="KINGSTON AND RICHMOND NHS FOUNDATION TRUST"/>
    <s v="SWL"/>
    <x v="6"/>
    <n v="115"/>
    <n v="60"/>
    <n v="0.52173913043478204"/>
    <x v="28"/>
  </r>
  <r>
    <s v="RAX"/>
    <s v="KINGSTON AND RICHMOND NHS FOUNDATION TRUST"/>
    <s v="SWL"/>
    <x v="3"/>
    <n v="117"/>
    <n v="61"/>
    <n v="0.52136752136752096"/>
    <x v="28"/>
  </r>
  <r>
    <s v="RAX"/>
    <s v="KINGSTON AND RICHMOND NHS FOUNDATION TRUST"/>
    <s v="SWL"/>
    <x v="7"/>
    <n v="720"/>
    <n v="232"/>
    <n v="0.32222222222222202"/>
    <x v="28"/>
  </r>
  <r>
    <s v="RAX"/>
    <s v="KINGSTON AND RICHMOND NHS FOUNDATION TRUST"/>
    <s v="SWL"/>
    <x v="2"/>
    <n v="822"/>
    <n v="461"/>
    <n v="0.56082725060827199"/>
    <x v="28"/>
  </r>
  <r>
    <s v="RAX"/>
    <s v="KINGSTON AND RICHMOND NHS FOUNDATION TRUST"/>
    <s v="SWL"/>
    <x v="4"/>
    <n v="1494"/>
    <n v="705"/>
    <n v="0.47188755020080297"/>
    <x v="28"/>
  </r>
  <r>
    <s v="RAX"/>
    <s v="KINGSTON AND RICHMOND NHS FOUNDATION TRUST"/>
    <s v="SWL"/>
    <x v="8"/>
    <n v="82"/>
    <n v="45"/>
    <n v="0.54878048780487798"/>
    <x v="28"/>
  </r>
  <r>
    <s v="RAX"/>
    <s v="KINGSTON AND RICHMOND NHS FOUNDATION TRUST"/>
    <s v="SWL"/>
    <x v="5"/>
    <n v="372"/>
    <n v="169"/>
    <n v="0.45430107526881702"/>
    <x v="28"/>
  </r>
  <r>
    <s v="RAX"/>
    <s v="KINGSTON AND RICHMOND NHS FOUNDATION TRUST"/>
    <s v="SWL"/>
    <x v="0"/>
    <n v="72"/>
    <n v="24"/>
    <n v="0.33333333333333298"/>
    <x v="28"/>
  </r>
  <r>
    <s v="RAX"/>
    <s v="KINGSTON AND RICHMOND NHS FOUNDATION TRUST"/>
    <s v="SWL"/>
    <x v="1"/>
    <n v="7"/>
    <n v="2"/>
    <n v="0.28571428571428498"/>
    <x v="28"/>
  </r>
  <r>
    <s v="RQY"/>
    <s v="SOUTH WEST LONDON AND ST GEORGE'S MENTAL HEALTH NHS TRUST"/>
    <s v="SWL"/>
    <x v="7"/>
    <n v="892"/>
    <n v="241"/>
    <n v="0.27017937219730898"/>
    <x v="29"/>
  </r>
  <r>
    <s v="RQY"/>
    <s v="SOUTH WEST LONDON AND ST GEORGE'S MENTAL HEALTH NHS TRUST"/>
    <s v="SWL"/>
    <x v="2"/>
    <n v="201"/>
    <n v="109"/>
    <n v="0.54228855721392999"/>
    <x v="29"/>
  </r>
  <r>
    <s v="RQY"/>
    <s v="SOUTH WEST LONDON AND ST GEORGE'S MENTAL HEALTH NHS TRUST"/>
    <s v="SWL"/>
    <x v="3"/>
    <n v="5"/>
    <n v="0"/>
    <n v="0"/>
    <x v="29"/>
  </r>
  <r>
    <s v="RQY"/>
    <s v="SOUTH WEST LONDON AND ST GEORGE'S MENTAL HEALTH NHS TRUST"/>
    <s v="SWL"/>
    <x v="5"/>
    <n v="118"/>
    <n v="56"/>
    <n v="0.47457627118644002"/>
    <x v="29"/>
  </r>
  <r>
    <s v="RQY"/>
    <s v="SOUTH WEST LONDON AND ST GEORGE'S MENTAL HEALTH NHS TRUST"/>
    <s v="SWL"/>
    <x v="6"/>
    <n v="399"/>
    <n v="174"/>
    <n v="0.43609022556390897"/>
    <x v="29"/>
  </r>
  <r>
    <s v="RQY"/>
    <s v="SOUTH WEST LONDON AND ST GEORGE'S MENTAL HEALTH NHS TRUST"/>
    <s v="SWL"/>
    <x v="4"/>
    <n v="796"/>
    <n v="271"/>
    <n v="0.340452261306532"/>
    <x v="29"/>
  </r>
  <r>
    <s v="RQY"/>
    <s v="SOUTH WEST LONDON AND ST GEORGE'S MENTAL HEALTH NHS TRUST"/>
    <s v="SWL"/>
    <x v="0"/>
    <n v="28"/>
    <n v="6"/>
    <n v="0.214285714285714"/>
    <x v="29"/>
  </r>
  <r>
    <s v="RQY"/>
    <s v="SOUTH WEST LONDON AND ST GEORGE'S MENTAL HEALTH NHS TRUST"/>
    <s v="SWL"/>
    <x v="8"/>
    <n v="1"/>
    <n v="1"/>
    <n v="1"/>
    <x v="29"/>
  </r>
  <r>
    <s v="RQY"/>
    <s v="SOUTH WEST LONDON AND ST GEORGE'S MENTAL HEALTH NHS TRUST"/>
    <s v="SWL"/>
    <x v="1"/>
    <n v="14"/>
    <n v="3"/>
    <n v="0.214285714285714"/>
    <x v="29"/>
  </r>
  <r>
    <s v="RJ7"/>
    <s v="ST GEORGE'S UNIVERSITY HOSPITALS NHS FOUNDATION TRUST"/>
    <s v="SWL"/>
    <x v="2"/>
    <n v="1465"/>
    <n v="810"/>
    <n v="0.55290102389078499"/>
    <x v="30"/>
  </r>
  <r>
    <s v="RJ7"/>
    <s v="ST GEORGE'S UNIVERSITY HOSPITALS NHS FOUNDATION TRUST"/>
    <s v="SWL"/>
    <x v="7"/>
    <n v="897"/>
    <n v="211"/>
    <n v="0.235228539576365"/>
    <x v="30"/>
  </r>
  <r>
    <s v="RJ7"/>
    <s v="ST GEORGE'S UNIVERSITY HOSPITALS NHS FOUNDATION TRUST"/>
    <s v="SWL"/>
    <x v="4"/>
    <n v="2574"/>
    <n v="1053"/>
    <n v="0.40909090909090901"/>
    <x v="30"/>
  </r>
  <r>
    <s v="RJ7"/>
    <s v="ST GEORGE'S UNIVERSITY HOSPITALS NHS FOUNDATION TRUST"/>
    <s v="SWL"/>
    <x v="5"/>
    <n v="612"/>
    <n v="291"/>
    <n v="0.47549019607843102"/>
    <x v="30"/>
  </r>
  <r>
    <s v="RJ7"/>
    <s v="ST GEORGE'S UNIVERSITY HOSPITALS NHS FOUNDATION TRUST"/>
    <s v="SWL"/>
    <x v="6"/>
    <n v="309"/>
    <n v="122"/>
    <n v="0.39482200647249099"/>
    <x v="30"/>
  </r>
  <r>
    <s v="RJ7"/>
    <s v="ST GEORGE'S UNIVERSITY HOSPITALS NHS FOUNDATION TRUST"/>
    <s v="SWL"/>
    <x v="0"/>
    <n v="232"/>
    <n v="80"/>
    <n v="0.34482758620689602"/>
    <x v="30"/>
  </r>
  <r>
    <s v="RJ7"/>
    <s v="ST GEORGE'S UNIVERSITY HOSPITALS NHS FOUNDATION TRUST"/>
    <s v="SWL"/>
    <x v="8"/>
    <n v="474"/>
    <n v="180"/>
    <n v="0.379746835443038"/>
    <x v="30"/>
  </r>
  <r>
    <s v="RJ7"/>
    <s v="ST GEORGE'S UNIVERSITY HOSPITALS NHS FOUNDATION TRUST"/>
    <s v="SWL"/>
    <x v="3"/>
    <n v="314"/>
    <n v="88"/>
    <n v="0.28025477707006302"/>
    <x v="30"/>
  </r>
  <r>
    <s v="RPY"/>
    <s v="THE ROYAL MARSDEN NHS FOUNDATION TRUST"/>
    <s v="SWL"/>
    <x v="5"/>
    <n v="319"/>
    <n v="159"/>
    <n v="0.49843260188087701"/>
    <x v="31"/>
  </r>
  <r>
    <s v="RPY"/>
    <s v="THE ROYAL MARSDEN NHS FOUNDATION TRUST"/>
    <s v="SWL"/>
    <x v="2"/>
    <n v="590"/>
    <n v="311"/>
    <n v="0.52711864406779596"/>
    <x v="31"/>
  </r>
  <r>
    <s v="RPY"/>
    <s v="THE ROYAL MARSDEN NHS FOUNDATION TRUST"/>
    <s v="SWL"/>
    <x v="4"/>
    <n v="1122"/>
    <n v="600"/>
    <n v="0.53475935828876997"/>
    <x v="31"/>
  </r>
  <r>
    <s v="RPY"/>
    <s v="THE ROYAL MARSDEN NHS FOUNDATION TRUST"/>
    <s v="SWL"/>
    <x v="8"/>
    <n v="321"/>
    <n v="135"/>
    <n v="0.420560747663551"/>
    <x v="31"/>
  </r>
  <r>
    <s v="RPY"/>
    <s v="THE ROYAL MARSDEN NHS FOUNDATION TRUST"/>
    <s v="SWL"/>
    <x v="3"/>
    <n v="53"/>
    <n v="32"/>
    <n v="0.60377358490566002"/>
    <x v="31"/>
  </r>
  <r>
    <s v="RPY"/>
    <s v="THE ROYAL MARSDEN NHS FOUNDATION TRUST"/>
    <s v="SWL"/>
    <x v="1"/>
    <n v="1"/>
    <n v="0"/>
    <n v="0"/>
    <x v="31"/>
  </r>
  <r>
    <s v="RPY"/>
    <s v="THE ROYAL MARSDEN NHS FOUNDATION TRUST"/>
    <s v="SWL"/>
    <x v="7"/>
    <n v="576"/>
    <n v="209"/>
    <n v="0.36284722222222199"/>
    <x v="31"/>
  </r>
  <r>
    <s v="RPY"/>
    <s v="THE ROYAL MARSDEN NHS FOUNDATION TRUST"/>
    <s v="SWL"/>
    <x v="0"/>
    <n v="203"/>
    <n v="52"/>
    <n v="0.25615763546797998"/>
    <x v="31"/>
  </r>
  <r>
    <s v="RPY"/>
    <s v="THE ROYAL MARSDEN NHS FOUNDATION TRUST"/>
    <s v="SWL"/>
    <x v="6"/>
    <n v="200"/>
    <n v="83"/>
    <n v="0.41499999999999998"/>
    <x v="31"/>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08">
  <r>
    <s v="RV3"/>
    <s v="CENTRAL AND NORTH WEST LONDON NHS FOUNDATION TRUST"/>
    <s v="NCL"/>
    <x v="0"/>
    <n v="80"/>
    <n v="28"/>
    <n v="0.35"/>
    <x v="0"/>
    <s v="Mental Health &amp; Community"/>
  </r>
  <r>
    <s v="RV3"/>
    <s v="CENTRAL AND NORTH WEST LONDON NHS FOUNDATION TRUST"/>
    <s v="NCL"/>
    <x v="1"/>
    <n v="4"/>
    <n v="0"/>
    <n v="0"/>
    <x v="0"/>
    <s v="Mental Health &amp; Community"/>
  </r>
  <r>
    <s v="RV3"/>
    <s v="CENTRAL AND NORTH WEST LONDON NHS FOUNDATION TRUST"/>
    <s v="NCL"/>
    <x v="2"/>
    <n v="84"/>
    <n v="20"/>
    <n v="0.238095238095238"/>
    <x v="0"/>
    <s v="Mental Health &amp; Community"/>
  </r>
  <r>
    <s v="RV3"/>
    <s v="CENTRAL AND NORTH WEST LONDON NHS FOUNDATION TRUST"/>
    <s v="NCL"/>
    <x v="3"/>
    <n v="523"/>
    <n v="183"/>
    <n v="0.34990439770554399"/>
    <x v="0"/>
    <s v="Mental Health &amp; Community"/>
  </r>
  <r>
    <s v="RV3"/>
    <s v="CENTRAL AND NORTH WEST LONDON NHS FOUNDATION TRUST"/>
    <s v="NCL"/>
    <x v="4"/>
    <n v="188"/>
    <n v="34"/>
    <n v="0.180851063829787"/>
    <x v="0"/>
    <s v="Mental Health &amp; Community"/>
  </r>
  <r>
    <s v="RV3"/>
    <s v="CENTRAL AND NORTH WEST LONDON NHS FOUNDATION TRUST"/>
    <s v="NCL"/>
    <x v="5"/>
    <n v="1735"/>
    <n v="792"/>
    <n v="0.45648414985590702"/>
    <x v="0"/>
    <s v="Mental Health &amp; Community"/>
  </r>
  <r>
    <s v="RV3"/>
    <s v="CENTRAL AND NORTH WEST LONDON NHS FOUNDATION TRUST"/>
    <s v="NCL"/>
    <x v="6"/>
    <n v="324"/>
    <n v="72"/>
    <n v="0.22222222222222199"/>
    <x v="0"/>
    <s v="Mental Health &amp; Community"/>
  </r>
  <r>
    <s v="RV3"/>
    <s v="CENTRAL AND NORTH WEST LONDON NHS FOUNDATION TRUST"/>
    <s v="NCL"/>
    <x v="7"/>
    <n v="106"/>
    <n v="27"/>
    <n v="0.25471698113207503"/>
    <x v="0"/>
    <s v="Mental Health &amp; Community"/>
  </r>
  <r>
    <s v="RV3"/>
    <s v="CENTRAL AND NORTH WEST LONDON NHS FOUNDATION TRUST"/>
    <s v="NCL"/>
    <x v="8"/>
    <n v="36"/>
    <n v="6"/>
    <n v="0.16666666666666599"/>
    <x v="0"/>
    <s v="Mental Health &amp; Community"/>
  </r>
  <r>
    <s v="RV3"/>
    <s v="CENTRAL AND NORTH WEST LONDON NHS FOUNDATION TRUST"/>
    <s v="NCL"/>
    <x v="9"/>
    <n v="36"/>
    <n v="14"/>
    <n v="0.38888888888888801"/>
    <x v="0"/>
    <s v="Mental Health &amp; Community"/>
  </r>
  <r>
    <s v="RV3"/>
    <s v="CENTRAL AND NORTH WEST LONDON NHS FOUNDATION TRUST"/>
    <s v="NCL"/>
    <x v="10"/>
    <n v="1102"/>
    <n v="257"/>
    <n v="0.233212341197822"/>
    <x v="0"/>
    <s v="Mental Health &amp; Community"/>
  </r>
  <r>
    <s v="RV3"/>
    <s v="CENTRAL AND NORTH WEST LONDON NHS FOUNDATION TRUST"/>
    <s v="NCL"/>
    <x v="11"/>
    <n v="62"/>
    <n v="34"/>
    <n v="0.54838709677419295"/>
    <x v="0"/>
    <s v="Mental Health &amp; Community"/>
  </r>
  <r>
    <s v="RV3"/>
    <s v="CENTRAL AND NORTH WEST LONDON NHS FOUNDATION TRUST"/>
    <s v="NCL"/>
    <x v="12"/>
    <n v="284"/>
    <n v="96"/>
    <n v="0.338028169014084"/>
    <x v="0"/>
    <s v="Mental Health &amp; Community"/>
  </r>
  <r>
    <s v="RV3"/>
    <s v="CENTRAL AND NORTH WEST LONDON NHS FOUNDATION TRUST"/>
    <s v="NCL"/>
    <x v="1"/>
    <n v="345"/>
    <n v="95"/>
    <n v="0.27536231884057899"/>
    <x v="0"/>
    <s v="Mental Health &amp; Community"/>
  </r>
  <r>
    <s v="RV3"/>
    <s v="CENTRAL AND NORTH WEST LONDON NHS FOUNDATION TRUST"/>
    <s v="NCL"/>
    <x v="13"/>
    <n v="472"/>
    <n v="170"/>
    <n v="0.36016949152542299"/>
    <x v="0"/>
    <s v="Mental Health &amp; Community"/>
  </r>
  <r>
    <s v="RV3"/>
    <s v="CENTRAL AND NORTH WEST LONDON NHS FOUNDATION TRUST"/>
    <s v="NCL"/>
    <x v="14"/>
    <n v="53"/>
    <n v="13"/>
    <n v="0.245283018867924"/>
    <x v="0"/>
    <s v="Mental Health &amp; Community"/>
  </r>
  <r>
    <s v="RV3"/>
    <s v="CENTRAL AND NORTH WEST LONDON NHS FOUNDATION TRUST"/>
    <s v="NCL"/>
    <x v="15"/>
    <n v="101"/>
    <n v="44"/>
    <n v="0.43564356435643498"/>
    <x v="0"/>
    <s v="Mental Health &amp; Community"/>
  </r>
  <r>
    <s v="RV3"/>
    <s v="CENTRAL AND NORTH WEST LONDON NHS FOUNDATION TRUST"/>
    <s v="NCL"/>
    <x v="16"/>
    <n v="345"/>
    <n v="123"/>
    <n v="0.356521739130434"/>
    <x v="0"/>
    <s v="Mental Health &amp; Community"/>
  </r>
  <r>
    <s v="RP4"/>
    <s v="GREAT ORMOND STREET HOSPITAL FOR CHILDREN NHS FOUNDATION TRUST"/>
    <s v="NCL"/>
    <x v="7"/>
    <n v="76"/>
    <n v="27"/>
    <n v="0.355263157894736"/>
    <x v="1"/>
    <s v="Specialist"/>
  </r>
  <r>
    <s v="RP4"/>
    <s v="GREAT ORMOND STREET HOSPITAL FOR CHILDREN NHS FOUNDATION TRUST"/>
    <s v="NCL"/>
    <x v="8"/>
    <n v="93"/>
    <n v="28"/>
    <n v="0.30107526881720398"/>
    <x v="1"/>
    <s v="Specialist"/>
  </r>
  <r>
    <s v="RP4"/>
    <s v="GREAT ORMOND STREET HOSPITAL FOR CHILDREN NHS FOUNDATION TRUST"/>
    <s v="NCL"/>
    <x v="5"/>
    <n v="1550"/>
    <n v="1041"/>
    <n v="0.67161290322580602"/>
    <x v="1"/>
    <s v="Specialist"/>
  </r>
  <r>
    <s v="RP4"/>
    <s v="GREAT ORMOND STREET HOSPITAL FOR CHILDREN NHS FOUNDATION TRUST"/>
    <s v="NCL"/>
    <x v="4"/>
    <n v="60"/>
    <n v="14"/>
    <n v="0.233333333333333"/>
    <x v="1"/>
    <s v="Specialist"/>
  </r>
  <r>
    <s v="RP4"/>
    <s v="GREAT ORMOND STREET HOSPITAL FOR CHILDREN NHS FOUNDATION TRUST"/>
    <s v="NCL"/>
    <x v="1"/>
    <n v="8"/>
    <n v="4"/>
    <n v="0.5"/>
    <x v="1"/>
    <s v="Specialist"/>
  </r>
  <r>
    <s v="RP4"/>
    <s v="GREAT ORMOND STREET HOSPITAL FOR CHILDREN NHS FOUNDATION TRUST"/>
    <s v="NCL"/>
    <x v="11"/>
    <n v="55"/>
    <n v="31"/>
    <n v="0.56363636363636305"/>
    <x v="1"/>
    <s v="Specialist"/>
  </r>
  <r>
    <s v="RP4"/>
    <s v="GREAT ORMOND STREET HOSPITAL FOR CHILDREN NHS FOUNDATION TRUST"/>
    <s v="NCL"/>
    <x v="0"/>
    <n v="60"/>
    <n v="26"/>
    <n v="0.43333333333333302"/>
    <x v="1"/>
    <s v="Specialist"/>
  </r>
  <r>
    <s v="RP4"/>
    <s v="GREAT ORMOND STREET HOSPITAL FOR CHILDREN NHS FOUNDATION TRUST"/>
    <s v="NCL"/>
    <x v="13"/>
    <n v="244"/>
    <n v="132"/>
    <n v="0.54098360655737698"/>
    <x v="1"/>
    <s v="Specialist"/>
  </r>
  <r>
    <s v="RP4"/>
    <s v="GREAT ORMOND STREET HOSPITAL FOR CHILDREN NHS FOUNDATION TRUST"/>
    <s v="NCL"/>
    <x v="14"/>
    <n v="15"/>
    <n v="5"/>
    <n v="0.33333333333333298"/>
    <x v="1"/>
    <s v="Specialist"/>
  </r>
  <r>
    <s v="RP4"/>
    <s v="GREAT ORMOND STREET HOSPITAL FOR CHILDREN NHS FOUNDATION TRUST"/>
    <s v="NCL"/>
    <x v="3"/>
    <n v="497"/>
    <n v="276"/>
    <n v="0.55533199195171001"/>
    <x v="1"/>
    <s v="Specialist"/>
  </r>
  <r>
    <s v="RP4"/>
    <s v="GREAT ORMOND STREET HOSPITAL FOR CHILDREN NHS FOUNDATION TRUST"/>
    <s v="NCL"/>
    <x v="6"/>
    <n v="89"/>
    <n v="30"/>
    <n v="0.33707865168539303"/>
    <x v="1"/>
    <s v="Specialist"/>
  </r>
  <r>
    <s v="RP4"/>
    <s v="GREAT ORMOND STREET HOSPITAL FOR CHILDREN NHS FOUNDATION TRUST"/>
    <s v="NCL"/>
    <x v="12"/>
    <n v="197"/>
    <n v="106"/>
    <n v="0.538071065989847"/>
    <x v="1"/>
    <s v="Specialist"/>
  </r>
  <r>
    <s v="RP4"/>
    <s v="GREAT ORMOND STREET HOSPITAL FOR CHILDREN NHS FOUNDATION TRUST"/>
    <s v="NCL"/>
    <x v="15"/>
    <n v="81"/>
    <n v="58"/>
    <n v="0.71604938271604901"/>
    <x v="1"/>
    <s v="Specialist"/>
  </r>
  <r>
    <s v="RP4"/>
    <s v="GREAT ORMOND STREET HOSPITAL FOR CHILDREN NHS FOUNDATION TRUST"/>
    <s v="NCL"/>
    <x v="10"/>
    <n v="335"/>
    <n v="133"/>
    <n v="0.39701492537313399"/>
    <x v="1"/>
    <s v="Specialist"/>
  </r>
  <r>
    <s v="RP4"/>
    <s v="GREAT ORMOND STREET HOSPITAL FOR CHILDREN NHS FOUNDATION TRUST"/>
    <s v="NCL"/>
    <x v="2"/>
    <n v="23"/>
    <n v="6"/>
    <n v="0.26086956521739102"/>
    <x v="1"/>
    <s v="Specialist"/>
  </r>
  <r>
    <s v="RP4"/>
    <s v="GREAT ORMOND STREET HOSPITAL FOR CHILDREN NHS FOUNDATION TRUST"/>
    <s v="NCL"/>
    <x v="16"/>
    <n v="237"/>
    <n v="124"/>
    <n v="0.52320675105485204"/>
    <x v="1"/>
    <s v="Specialist"/>
  </r>
  <r>
    <s v="RP4"/>
    <s v="GREAT ORMOND STREET HOSPITAL FOR CHILDREN NHS FOUNDATION TRUST"/>
    <s v="NCL"/>
    <x v="1"/>
    <n v="289"/>
    <n v="153"/>
    <n v="0.52941176470588203"/>
    <x v="1"/>
    <s v="Specialist"/>
  </r>
  <r>
    <s v="RP4"/>
    <s v="GREAT ORMOND STREET HOSPITAL FOR CHILDREN NHS FOUNDATION TRUST"/>
    <s v="NCL"/>
    <x v="9"/>
    <n v="29"/>
    <n v="22"/>
    <n v="0.75862068965517204"/>
    <x v="1"/>
    <s v="Specialist"/>
  </r>
  <r>
    <s v="RP6"/>
    <s v="MOORFIELDS EYE HOSPITAL NHS FOUNDATION TRUST"/>
    <s v="NCL"/>
    <x v="8"/>
    <n v="52"/>
    <n v="7"/>
    <n v="0.134615384615384"/>
    <x v="2"/>
    <s v="Specialist"/>
  </r>
  <r>
    <s v="RP6"/>
    <s v="MOORFIELDS EYE HOSPITAL NHS FOUNDATION TRUST"/>
    <s v="NCL"/>
    <x v="4"/>
    <n v="54"/>
    <n v="21"/>
    <n v="0.38888888888888801"/>
    <x v="2"/>
    <s v="Specialist"/>
  </r>
  <r>
    <s v="RP6"/>
    <s v="MOORFIELDS EYE HOSPITAL NHS FOUNDATION TRUST"/>
    <s v="NCL"/>
    <x v="13"/>
    <n v="253"/>
    <n v="129"/>
    <n v="0.50988142292490102"/>
    <x v="2"/>
    <s v="Specialist"/>
  </r>
  <r>
    <s v="RP6"/>
    <s v="MOORFIELDS EYE HOSPITAL NHS FOUNDATION TRUST"/>
    <s v="NCL"/>
    <x v="1"/>
    <n v="108"/>
    <n v="48"/>
    <n v="0.44444444444444398"/>
    <x v="2"/>
    <s v="Specialist"/>
  </r>
  <r>
    <s v="RP6"/>
    <s v="MOORFIELDS EYE HOSPITAL NHS FOUNDATION TRUST"/>
    <s v="NCL"/>
    <x v="9"/>
    <n v="18"/>
    <n v="15"/>
    <n v="0.83333333333333304"/>
    <x v="2"/>
    <s v="Specialist"/>
  </r>
  <r>
    <s v="RP6"/>
    <s v="MOORFIELDS EYE HOSPITAL NHS FOUNDATION TRUST"/>
    <s v="NCL"/>
    <x v="5"/>
    <n v="302"/>
    <n v="198"/>
    <n v="0.65562913907284703"/>
    <x v="2"/>
    <s v="Specialist"/>
  </r>
  <r>
    <s v="RP6"/>
    <s v="MOORFIELDS EYE HOSPITAL NHS FOUNDATION TRUST"/>
    <s v="NCL"/>
    <x v="3"/>
    <n v="186"/>
    <n v="81"/>
    <n v="0.43548387096774099"/>
    <x v="2"/>
    <s v="Specialist"/>
  </r>
  <r>
    <s v="RP6"/>
    <s v="MOORFIELDS EYE HOSPITAL NHS FOUNDATION TRUST"/>
    <s v="NCL"/>
    <x v="11"/>
    <n v="46"/>
    <n v="23"/>
    <n v="0.5"/>
    <x v="2"/>
    <s v="Specialist"/>
  </r>
  <r>
    <s v="RP6"/>
    <s v="MOORFIELDS EYE HOSPITAL NHS FOUNDATION TRUST"/>
    <s v="NCL"/>
    <x v="16"/>
    <n v="216"/>
    <n v="127"/>
    <n v="0.58796296296296202"/>
    <x v="2"/>
    <s v="Specialist"/>
  </r>
  <r>
    <s v="RP6"/>
    <s v="MOORFIELDS EYE HOSPITAL NHS FOUNDATION TRUST"/>
    <s v="NCL"/>
    <x v="2"/>
    <n v="17"/>
    <n v="8"/>
    <n v="0.47058823529411697"/>
    <x v="2"/>
    <s v="Specialist"/>
  </r>
  <r>
    <s v="RP6"/>
    <s v="MOORFIELDS EYE HOSPITAL NHS FOUNDATION TRUST"/>
    <s v="NCL"/>
    <x v="15"/>
    <n v="21"/>
    <n v="13"/>
    <n v="0.61904761904761896"/>
    <x v="2"/>
    <s v="Specialist"/>
  </r>
  <r>
    <s v="RP6"/>
    <s v="MOORFIELDS EYE HOSPITAL NHS FOUNDATION TRUST"/>
    <s v="NCL"/>
    <x v="10"/>
    <n v="185"/>
    <n v="76"/>
    <n v="0.41081081081081"/>
    <x v="2"/>
    <s v="Specialist"/>
  </r>
  <r>
    <s v="RP6"/>
    <s v="MOORFIELDS EYE HOSPITAL NHS FOUNDATION TRUST"/>
    <s v="NCL"/>
    <x v="14"/>
    <n v="6"/>
    <n v="4"/>
    <n v="0.66666666666666596"/>
    <x v="2"/>
    <s v="Specialist"/>
  </r>
  <r>
    <s v="RP6"/>
    <s v="MOORFIELDS EYE HOSPITAL NHS FOUNDATION TRUST"/>
    <s v="NCL"/>
    <x v="6"/>
    <n v="52"/>
    <n v="25"/>
    <n v="0.48076923076923"/>
    <x v="2"/>
    <s v="Specialist"/>
  </r>
  <r>
    <s v="RP6"/>
    <s v="MOORFIELDS EYE HOSPITAL NHS FOUNDATION TRUST"/>
    <s v="NCL"/>
    <x v="0"/>
    <n v="43"/>
    <n v="24"/>
    <n v="0.55813953488372003"/>
    <x v="2"/>
    <s v="Specialist"/>
  </r>
  <r>
    <s v="RP6"/>
    <s v="MOORFIELDS EYE HOSPITAL NHS FOUNDATION TRUST"/>
    <s v="NCL"/>
    <x v="7"/>
    <n v="45"/>
    <n v="15"/>
    <n v="0.33333333333333298"/>
    <x v="2"/>
    <s v="Specialist"/>
  </r>
  <r>
    <s v="RP6"/>
    <s v="MOORFIELDS EYE HOSPITAL NHS FOUNDATION TRUST"/>
    <s v="NCL"/>
    <x v="12"/>
    <n v="169"/>
    <n v="89"/>
    <n v="0.52662721893491105"/>
    <x v="2"/>
    <s v="Specialist"/>
  </r>
  <r>
    <s v="RP6"/>
    <s v="MOORFIELDS EYE HOSPITAL NHS FOUNDATION TRUST"/>
    <s v="NCL"/>
    <x v="1"/>
    <n v="4"/>
    <n v="1"/>
    <n v="0.25"/>
    <x v="2"/>
    <s v="Specialist"/>
  </r>
  <r>
    <s v="G6V2S"/>
    <s v="NORTH LONDON NHS FOUNDATION TRUST"/>
    <s v="NCL"/>
    <x v="7"/>
    <n v="65"/>
    <n v="15"/>
    <n v="0.23076923076923"/>
    <x v="3"/>
    <s v="Mental Health"/>
  </r>
  <r>
    <s v="G6V2S"/>
    <s v="NORTH LONDON NHS FOUNDATION TRUST"/>
    <s v="NCL"/>
    <x v="1"/>
    <n v="3"/>
    <n v="0"/>
    <n v="0"/>
    <x v="3"/>
    <s v="Mental Health"/>
  </r>
  <r>
    <s v="G6V2S"/>
    <s v="NORTH LONDON NHS FOUNDATION TRUST"/>
    <s v="NCL"/>
    <x v="3"/>
    <n v="615"/>
    <n v="186"/>
    <n v="0.30243902439024301"/>
    <x v="3"/>
    <s v="Mental Health"/>
  </r>
  <r>
    <s v="G6V2S"/>
    <s v="NORTH LONDON NHS FOUNDATION TRUST"/>
    <s v="NCL"/>
    <x v="10"/>
    <n v="1051"/>
    <n v="283"/>
    <n v="0.269267364414843"/>
    <x v="3"/>
    <s v="Mental Health"/>
  </r>
  <r>
    <s v="G6V2S"/>
    <s v="NORTH LONDON NHS FOUNDATION TRUST"/>
    <s v="NCL"/>
    <x v="9"/>
    <n v="36"/>
    <n v="21"/>
    <n v="0.58333333333333304"/>
    <x v="3"/>
    <s v="Mental Health"/>
  </r>
  <r>
    <s v="G6V2S"/>
    <s v="NORTH LONDON NHS FOUNDATION TRUST"/>
    <s v="NCL"/>
    <x v="0"/>
    <n v="87"/>
    <n v="30"/>
    <n v="0.34482758620689602"/>
    <x v="3"/>
    <s v="Mental Health"/>
  </r>
  <r>
    <s v="G6V2S"/>
    <s v="NORTH LONDON NHS FOUNDATION TRUST"/>
    <s v="NCL"/>
    <x v="16"/>
    <n v="233"/>
    <n v="69"/>
    <n v="0.29613733905579398"/>
    <x v="3"/>
    <s v="Mental Health"/>
  </r>
  <r>
    <s v="G6V2S"/>
    <s v="NORTH LONDON NHS FOUNDATION TRUST"/>
    <s v="NCL"/>
    <x v="15"/>
    <n v="71"/>
    <n v="32"/>
    <n v="0.45070422535211202"/>
    <x v="3"/>
    <s v="Mental Health"/>
  </r>
  <r>
    <s v="G6V2S"/>
    <s v="NORTH LONDON NHS FOUNDATION TRUST"/>
    <s v="NCL"/>
    <x v="8"/>
    <n v="73"/>
    <n v="10"/>
    <n v="0.13698630136986301"/>
    <x v="3"/>
    <s v="Mental Health"/>
  </r>
  <r>
    <s v="G6V2S"/>
    <s v="NORTH LONDON NHS FOUNDATION TRUST"/>
    <s v="NCL"/>
    <x v="6"/>
    <n v="300"/>
    <n v="59"/>
    <n v="0.19666666666666599"/>
    <x v="3"/>
    <s v="Mental Health"/>
  </r>
  <r>
    <s v="G6V2S"/>
    <s v="NORTH LONDON NHS FOUNDATION TRUST"/>
    <s v="NCL"/>
    <x v="14"/>
    <n v="49"/>
    <n v="11"/>
    <n v="0.22448979591836701"/>
    <x v="3"/>
    <s v="Mental Health"/>
  </r>
  <r>
    <s v="G6V2S"/>
    <s v="NORTH LONDON NHS FOUNDATION TRUST"/>
    <s v="NCL"/>
    <x v="5"/>
    <n v="1499"/>
    <n v="650"/>
    <n v="0.43362241494329501"/>
    <x v="3"/>
    <s v="Mental Health"/>
  </r>
  <r>
    <s v="G6V2S"/>
    <s v="NORTH LONDON NHS FOUNDATION TRUST"/>
    <s v="NCL"/>
    <x v="4"/>
    <n v="161"/>
    <n v="19"/>
    <n v="0.118012422360248"/>
    <x v="3"/>
    <s v="Mental Health"/>
  </r>
  <r>
    <s v="G6V2S"/>
    <s v="NORTH LONDON NHS FOUNDATION TRUST"/>
    <s v="NCL"/>
    <x v="1"/>
    <n v="286"/>
    <n v="84"/>
    <n v="0.29370629370629298"/>
    <x v="3"/>
    <s v="Mental Health"/>
  </r>
  <r>
    <s v="G6V2S"/>
    <s v="NORTH LONDON NHS FOUNDATION TRUST"/>
    <s v="NCL"/>
    <x v="12"/>
    <n v="283"/>
    <n v="72"/>
    <n v="0.25441696113074203"/>
    <x v="3"/>
    <s v="Mental Health"/>
  </r>
  <r>
    <s v="G6V2S"/>
    <s v="NORTH LONDON NHS FOUNDATION TRUST"/>
    <s v="NCL"/>
    <x v="13"/>
    <n v="231"/>
    <n v="73"/>
    <n v="0.31601731601731597"/>
    <x v="3"/>
    <s v="Mental Health"/>
  </r>
  <r>
    <s v="G6V2S"/>
    <s v="NORTH LONDON NHS FOUNDATION TRUST"/>
    <s v="NCL"/>
    <x v="11"/>
    <n v="52"/>
    <n v="23"/>
    <n v="0.44230769230769201"/>
    <x v="3"/>
    <s v="Mental Health"/>
  </r>
  <r>
    <s v="G6V2S"/>
    <s v="NORTH LONDON NHS FOUNDATION TRUST"/>
    <s v="NCL"/>
    <x v="2"/>
    <n v="79"/>
    <n v="13"/>
    <n v="0.164556962025316"/>
    <x v="3"/>
    <s v="Mental Health"/>
  </r>
  <r>
    <s v="RAL"/>
    <s v="ROYAL FREE LONDON NHS FOUNDATION TRUST"/>
    <s v="NCL"/>
    <x v="7"/>
    <n v="502"/>
    <n v="157"/>
    <n v="0.31274900398406302"/>
    <x v="4"/>
    <s v="Acute"/>
  </r>
  <r>
    <s v="RAL"/>
    <s v="ROYAL FREE LONDON NHS FOUNDATION TRUST"/>
    <s v="NCL"/>
    <x v="15"/>
    <n v="238"/>
    <n v="111"/>
    <n v="0.46638655462184803"/>
    <x v="4"/>
    <s v="Acute"/>
  </r>
  <r>
    <s v="RAL"/>
    <s v="ROYAL FREE LONDON NHS FOUNDATION TRUST"/>
    <s v="NCL"/>
    <x v="1"/>
    <n v="1315"/>
    <n v="510"/>
    <n v="0.38783269961977102"/>
    <x v="4"/>
    <s v="Acute"/>
  </r>
  <r>
    <s v="RAL"/>
    <s v="ROYAL FREE LONDON NHS FOUNDATION TRUST"/>
    <s v="NCL"/>
    <x v="16"/>
    <n v="1906"/>
    <n v="707"/>
    <n v="0.37093389296956902"/>
    <x v="4"/>
    <s v="Acute"/>
  </r>
  <r>
    <s v="RAL"/>
    <s v="ROYAL FREE LONDON NHS FOUNDATION TRUST"/>
    <s v="NCL"/>
    <x v="10"/>
    <n v="2764"/>
    <n v="683"/>
    <n v="0.24710564399421101"/>
    <x v="4"/>
    <s v="Acute"/>
  </r>
  <r>
    <s v="RAL"/>
    <s v="ROYAL FREE LONDON NHS FOUNDATION TRUST"/>
    <s v="NCL"/>
    <x v="0"/>
    <n v="244"/>
    <n v="84"/>
    <n v="0.34426229508196698"/>
    <x v="4"/>
    <s v="Acute"/>
  </r>
  <r>
    <s v="RAL"/>
    <s v="ROYAL FREE LONDON NHS FOUNDATION TRUST"/>
    <s v="NCL"/>
    <x v="8"/>
    <n v="334"/>
    <n v="83"/>
    <n v="0.24850299401197601"/>
    <x v="4"/>
    <s v="Acute"/>
  </r>
  <r>
    <s v="RAL"/>
    <s v="ROYAL FREE LONDON NHS FOUNDATION TRUST"/>
    <s v="NCL"/>
    <x v="12"/>
    <n v="1540"/>
    <n v="531"/>
    <n v="0.344805194805194"/>
    <x v="4"/>
    <s v="Acute"/>
  </r>
  <r>
    <s v="RAL"/>
    <s v="ROYAL FREE LONDON NHS FOUNDATION TRUST"/>
    <s v="NCL"/>
    <x v="2"/>
    <n v="224"/>
    <n v="60"/>
    <n v="0.26785714285714202"/>
    <x v="4"/>
    <s v="Acute"/>
  </r>
  <r>
    <s v="RAL"/>
    <s v="ROYAL FREE LONDON NHS FOUNDATION TRUST"/>
    <s v="NCL"/>
    <x v="1"/>
    <n v="24"/>
    <n v="3"/>
    <n v="0.125"/>
    <x v="4"/>
    <s v="Acute"/>
  </r>
  <r>
    <s v="RAL"/>
    <s v="ROYAL FREE LONDON NHS FOUNDATION TRUST"/>
    <s v="NCL"/>
    <x v="14"/>
    <n v="107"/>
    <n v="24"/>
    <n v="0.22429906542056"/>
    <x v="4"/>
    <s v="Acute"/>
  </r>
  <r>
    <s v="RAL"/>
    <s v="ROYAL FREE LONDON NHS FOUNDATION TRUST"/>
    <s v="NCL"/>
    <x v="9"/>
    <n v="135"/>
    <n v="75"/>
    <n v="0.55555555555555503"/>
    <x v="4"/>
    <s v="Acute"/>
  </r>
  <r>
    <s v="RAL"/>
    <s v="ROYAL FREE LONDON NHS FOUNDATION TRUST"/>
    <s v="NCL"/>
    <x v="13"/>
    <n v="1946"/>
    <n v="730"/>
    <n v="0.37512846865364802"/>
    <x v="4"/>
    <s v="Acute"/>
  </r>
  <r>
    <s v="RAL"/>
    <s v="ROYAL FREE LONDON NHS FOUNDATION TRUST"/>
    <s v="NCL"/>
    <x v="11"/>
    <n v="296"/>
    <n v="154"/>
    <n v="0.52027027027026995"/>
    <x v="4"/>
    <s v="Acute"/>
  </r>
  <r>
    <s v="RAL"/>
    <s v="ROYAL FREE LONDON NHS FOUNDATION TRUST"/>
    <s v="NCL"/>
    <x v="6"/>
    <n v="739"/>
    <n v="166"/>
    <n v="0.22462787550744201"/>
    <x v="4"/>
    <s v="Acute"/>
  </r>
  <r>
    <s v="RAL"/>
    <s v="ROYAL FREE LONDON NHS FOUNDATION TRUST"/>
    <s v="NCL"/>
    <x v="3"/>
    <n v="2047"/>
    <n v="706"/>
    <n v="0.34489496824621302"/>
    <x v="4"/>
    <s v="Acute"/>
  </r>
  <r>
    <s v="RAL"/>
    <s v="ROYAL FREE LONDON NHS FOUNDATION TRUST"/>
    <s v="NCL"/>
    <x v="4"/>
    <n v="567"/>
    <n v="118"/>
    <n v="0.20811287477954099"/>
    <x v="4"/>
    <s v="Acute"/>
  </r>
  <r>
    <s v="RAL"/>
    <s v="ROYAL FREE LONDON NHS FOUNDATION TRUST"/>
    <s v="NCL"/>
    <x v="5"/>
    <n v="3849"/>
    <n v="2056"/>
    <n v="0.534164718108599"/>
    <x v="4"/>
    <s v="Acute"/>
  </r>
  <r>
    <s v="RAN"/>
    <s v="ROYAL NATIONAL ORTHOPAEDIC HOSPITAL NHS TRUST"/>
    <s v="NCL"/>
    <x v="9"/>
    <n v="13"/>
    <n v="5"/>
    <n v="0.38461538461538403"/>
    <x v="5"/>
    <s v="Specialist"/>
  </r>
  <r>
    <s v="RAN"/>
    <s v="ROYAL NATIONAL ORTHOPAEDIC HOSPITAL NHS TRUST"/>
    <s v="NCL"/>
    <x v="0"/>
    <n v="11"/>
    <n v="4"/>
    <n v="0.36363636363636298"/>
    <x v="5"/>
    <s v="Specialist"/>
  </r>
  <r>
    <s v="RAN"/>
    <s v="ROYAL NATIONAL ORTHOPAEDIC HOSPITAL NHS TRUST"/>
    <s v="NCL"/>
    <x v="13"/>
    <n v="135"/>
    <n v="59"/>
    <n v="0.437037037037037"/>
    <x v="5"/>
    <s v="Specialist"/>
  </r>
  <r>
    <s v="RAN"/>
    <s v="ROYAL NATIONAL ORTHOPAEDIC HOSPITAL NHS TRUST"/>
    <s v="NCL"/>
    <x v="15"/>
    <n v="12"/>
    <n v="6"/>
    <n v="0.5"/>
    <x v="5"/>
    <s v="Specialist"/>
  </r>
  <r>
    <s v="RAN"/>
    <s v="ROYAL NATIONAL ORTHOPAEDIC HOSPITAL NHS TRUST"/>
    <s v="NCL"/>
    <x v="1"/>
    <n v="64"/>
    <n v="24"/>
    <n v="0.375"/>
    <x v="5"/>
    <s v="Specialist"/>
  </r>
  <r>
    <s v="RAN"/>
    <s v="ROYAL NATIONAL ORTHOPAEDIC HOSPITAL NHS TRUST"/>
    <s v="NCL"/>
    <x v="6"/>
    <n v="22"/>
    <n v="3"/>
    <n v="0.13636363636363599"/>
    <x v="5"/>
    <s v="Specialist"/>
  </r>
  <r>
    <s v="RAN"/>
    <s v="ROYAL NATIONAL ORTHOPAEDIC HOSPITAL NHS TRUST"/>
    <s v="NCL"/>
    <x v="14"/>
    <n v="5"/>
    <n v="1"/>
    <n v="0.2"/>
    <x v="5"/>
    <s v="Specialist"/>
  </r>
  <r>
    <s v="RAN"/>
    <s v="ROYAL NATIONAL ORTHOPAEDIC HOSPITAL NHS TRUST"/>
    <s v="NCL"/>
    <x v="5"/>
    <n v="266"/>
    <n v="160"/>
    <n v="0.60150375939849599"/>
    <x v="5"/>
    <s v="Specialist"/>
  </r>
  <r>
    <s v="RAN"/>
    <s v="ROYAL NATIONAL ORTHOPAEDIC HOSPITAL NHS TRUST"/>
    <s v="NCL"/>
    <x v="3"/>
    <n v="105"/>
    <n v="41"/>
    <n v="0.39047619047618998"/>
    <x v="5"/>
    <s v="Specialist"/>
  </r>
  <r>
    <s v="RAN"/>
    <s v="ROYAL NATIONAL ORTHOPAEDIC HOSPITAL NHS TRUST"/>
    <s v="NCL"/>
    <x v="11"/>
    <n v="12"/>
    <n v="6"/>
    <n v="0.5"/>
    <x v="5"/>
    <s v="Specialist"/>
  </r>
  <r>
    <s v="RAN"/>
    <s v="ROYAL NATIONAL ORTHOPAEDIC HOSPITAL NHS TRUST"/>
    <s v="NCL"/>
    <x v="16"/>
    <n v="120"/>
    <n v="54"/>
    <n v="0.45"/>
    <x v="5"/>
    <s v="Specialist"/>
  </r>
  <r>
    <s v="RAN"/>
    <s v="ROYAL NATIONAL ORTHOPAEDIC HOSPITAL NHS TRUST"/>
    <s v="NCL"/>
    <x v="4"/>
    <n v="16"/>
    <n v="2"/>
    <n v="0.125"/>
    <x v="5"/>
    <s v="Specialist"/>
  </r>
  <r>
    <s v="RAN"/>
    <s v="ROYAL NATIONAL ORTHOPAEDIC HOSPITAL NHS TRUST"/>
    <s v="NCL"/>
    <x v="10"/>
    <n v="106"/>
    <n v="14"/>
    <n v="0.13207547169811301"/>
    <x v="5"/>
    <s v="Specialist"/>
  </r>
  <r>
    <s v="RAN"/>
    <s v="ROYAL NATIONAL ORTHOPAEDIC HOSPITAL NHS TRUST"/>
    <s v="NCL"/>
    <x v="7"/>
    <n v="30"/>
    <n v="13"/>
    <n v="0.43333333333333302"/>
    <x v="5"/>
    <s v="Specialist"/>
  </r>
  <r>
    <s v="RAN"/>
    <s v="ROYAL NATIONAL ORTHOPAEDIC HOSPITAL NHS TRUST"/>
    <s v="NCL"/>
    <x v="12"/>
    <n v="66"/>
    <n v="22"/>
    <n v="0.33333333333333298"/>
    <x v="5"/>
    <s v="Specialist"/>
  </r>
  <r>
    <s v="RAN"/>
    <s v="ROYAL NATIONAL ORTHOPAEDIC HOSPITAL NHS TRUST"/>
    <s v="NCL"/>
    <x v="2"/>
    <n v="10"/>
    <n v="5"/>
    <n v="0.5"/>
    <x v="5"/>
    <s v="Specialist"/>
  </r>
  <r>
    <s v="RAN"/>
    <s v="ROYAL NATIONAL ORTHOPAEDIC HOSPITAL NHS TRUST"/>
    <s v="NCL"/>
    <x v="8"/>
    <n v="4"/>
    <n v="2"/>
    <n v="0.5"/>
    <x v="5"/>
    <s v="Specialist"/>
  </r>
  <r>
    <s v="RAN"/>
    <s v="ROYAL NATIONAL ORTHOPAEDIC HOSPITAL NHS TRUST"/>
    <s v="NCL"/>
    <x v="1"/>
    <n v="1"/>
    <n v="0"/>
    <n v="0"/>
    <x v="5"/>
    <s v="Specialist"/>
  </r>
  <r>
    <s v="RNK"/>
    <s v="TAVISTOCK AND PORTMAN NHS FOUNDATION TRUST"/>
    <s v="NCL"/>
    <x v="2"/>
    <n v="2"/>
    <n v="0"/>
    <n v="0"/>
    <x v="6"/>
    <s v="Mental Health"/>
  </r>
  <r>
    <s v="RNK"/>
    <s v="TAVISTOCK AND PORTMAN NHS FOUNDATION TRUST"/>
    <s v="NCL"/>
    <x v="0"/>
    <n v="17"/>
    <n v="5"/>
    <n v="0.29411764705882298"/>
    <x v="6"/>
    <s v="Mental Health"/>
  </r>
  <r>
    <s v="RNK"/>
    <s v="TAVISTOCK AND PORTMAN NHS FOUNDATION TRUST"/>
    <s v="NCL"/>
    <x v="13"/>
    <n v="25"/>
    <n v="10"/>
    <n v="0.4"/>
    <x v="6"/>
    <s v="Mental Health"/>
  </r>
  <r>
    <s v="RNK"/>
    <s v="TAVISTOCK AND PORTMAN NHS FOUNDATION TRUST"/>
    <s v="NCL"/>
    <x v="14"/>
    <n v="5"/>
    <n v="0"/>
    <n v="0"/>
    <x v="6"/>
    <s v="Mental Health"/>
  </r>
  <r>
    <s v="RNK"/>
    <s v="TAVISTOCK AND PORTMAN NHS FOUNDATION TRUST"/>
    <s v="NCL"/>
    <x v="4"/>
    <n v="22"/>
    <n v="3"/>
    <n v="0.13636363636363599"/>
    <x v="6"/>
    <s v="Mental Health"/>
  </r>
  <r>
    <s v="RNK"/>
    <s v="TAVISTOCK AND PORTMAN NHS FOUNDATION TRUST"/>
    <s v="NCL"/>
    <x v="10"/>
    <n v="21"/>
    <n v="3"/>
    <n v="0.14285714285714199"/>
    <x v="6"/>
    <s v="Mental Health"/>
  </r>
  <r>
    <s v="RNK"/>
    <s v="TAVISTOCK AND PORTMAN NHS FOUNDATION TRUST"/>
    <s v="NCL"/>
    <x v="16"/>
    <n v="15"/>
    <n v="6"/>
    <n v="0.4"/>
    <x v="6"/>
    <s v="Mental Health"/>
  </r>
  <r>
    <s v="RNK"/>
    <s v="TAVISTOCK AND PORTMAN NHS FOUNDATION TRUST"/>
    <s v="NCL"/>
    <x v="5"/>
    <n v="290"/>
    <n v="162"/>
    <n v="0.55862068965517198"/>
    <x v="6"/>
    <s v="Mental Health"/>
  </r>
  <r>
    <s v="RNK"/>
    <s v="TAVISTOCK AND PORTMAN NHS FOUNDATION TRUST"/>
    <s v="NCL"/>
    <x v="7"/>
    <n v="4"/>
    <n v="0"/>
    <n v="0"/>
    <x v="6"/>
    <s v="Mental Health"/>
  </r>
  <r>
    <s v="RNK"/>
    <s v="TAVISTOCK AND PORTMAN NHS FOUNDATION TRUST"/>
    <s v="NCL"/>
    <x v="12"/>
    <n v="27"/>
    <n v="6"/>
    <n v="0.22222222222222199"/>
    <x v="6"/>
    <s v="Mental Health"/>
  </r>
  <r>
    <s v="RNK"/>
    <s v="TAVISTOCK AND PORTMAN NHS FOUNDATION TRUST"/>
    <s v="NCL"/>
    <x v="9"/>
    <n v="2"/>
    <n v="2"/>
    <n v="1"/>
    <x v="6"/>
    <s v="Mental Health"/>
  </r>
  <r>
    <s v="RNK"/>
    <s v="TAVISTOCK AND PORTMAN NHS FOUNDATION TRUST"/>
    <s v="NCL"/>
    <x v="1"/>
    <n v="32"/>
    <n v="16"/>
    <n v="0.5"/>
    <x v="6"/>
    <s v="Mental Health"/>
  </r>
  <r>
    <s v="RNK"/>
    <s v="TAVISTOCK AND PORTMAN NHS FOUNDATION TRUST"/>
    <s v="NCL"/>
    <x v="15"/>
    <n v="12"/>
    <n v="5"/>
    <n v="0.41666666666666602"/>
    <x v="6"/>
    <s v="Mental Health"/>
  </r>
  <r>
    <s v="RNK"/>
    <s v="TAVISTOCK AND PORTMAN NHS FOUNDATION TRUST"/>
    <s v="NCL"/>
    <x v="8"/>
    <n v="3"/>
    <n v="1"/>
    <n v="0.33333333333333298"/>
    <x v="6"/>
    <s v="Mental Health"/>
  </r>
  <r>
    <s v="RNK"/>
    <s v="TAVISTOCK AND PORTMAN NHS FOUNDATION TRUST"/>
    <s v="NCL"/>
    <x v="1"/>
    <n v="1"/>
    <n v="0"/>
    <n v="0"/>
    <x v="6"/>
    <s v="Mental Health"/>
  </r>
  <r>
    <s v="RNK"/>
    <s v="TAVISTOCK AND PORTMAN NHS FOUNDATION TRUST"/>
    <s v="NCL"/>
    <x v="3"/>
    <n v="115"/>
    <n v="47"/>
    <n v="0.40869565217391302"/>
    <x v="6"/>
    <s v="Mental Health"/>
  </r>
  <r>
    <s v="RNK"/>
    <s v="TAVISTOCK AND PORTMAN NHS FOUNDATION TRUST"/>
    <s v="NCL"/>
    <x v="6"/>
    <n v="7"/>
    <n v="1"/>
    <n v="0.14285714285714199"/>
    <x v="6"/>
    <s v="Mental Health"/>
  </r>
  <r>
    <s v="RNK"/>
    <s v="TAVISTOCK AND PORTMAN NHS FOUNDATION TRUST"/>
    <s v="NCL"/>
    <x v="11"/>
    <n v="4"/>
    <n v="2"/>
    <n v="0.5"/>
    <x v="6"/>
    <s v="Mental Health"/>
  </r>
  <r>
    <s v="RRV"/>
    <s v="UNIVERSITY COLLEGE LONDON HOSPITALS NHS FOUNDATION TRUST"/>
    <s v="NCL"/>
    <x v="4"/>
    <n v="160"/>
    <n v="34"/>
    <n v="0.21249999999999999"/>
    <x v="7"/>
    <s v="Acute"/>
  </r>
  <r>
    <s v="RRV"/>
    <s v="UNIVERSITY COLLEGE LONDON HOSPITALS NHS FOUNDATION TRUST"/>
    <s v="NCL"/>
    <x v="7"/>
    <n v="132"/>
    <n v="35"/>
    <n v="0.26515151515151503"/>
    <x v="7"/>
    <s v="Acute"/>
  </r>
  <r>
    <s v="RRV"/>
    <s v="UNIVERSITY COLLEGE LONDON HOSPITALS NHS FOUNDATION TRUST"/>
    <s v="NCL"/>
    <x v="9"/>
    <n v="54"/>
    <n v="29"/>
    <n v="0.53703703703703698"/>
    <x v="7"/>
    <s v="Acute"/>
  </r>
  <r>
    <s v="RRV"/>
    <s v="UNIVERSITY COLLEGE LONDON HOSPITALS NHS FOUNDATION TRUST"/>
    <s v="NCL"/>
    <x v="11"/>
    <n v="153"/>
    <n v="85"/>
    <n v="0.55555555555555503"/>
    <x v="7"/>
    <s v="Acute"/>
  </r>
  <r>
    <s v="RRV"/>
    <s v="UNIVERSITY COLLEGE LONDON HOSPITALS NHS FOUNDATION TRUST"/>
    <s v="NCL"/>
    <x v="8"/>
    <n v="124"/>
    <n v="44"/>
    <n v="0.35483870967741898"/>
    <x v="7"/>
    <s v="Acute"/>
  </r>
  <r>
    <s v="RRV"/>
    <s v="UNIVERSITY COLLEGE LONDON HOSPITALS NHS FOUNDATION TRUST"/>
    <s v="NCL"/>
    <x v="2"/>
    <n v="54"/>
    <n v="13"/>
    <n v="0.24074074074074001"/>
    <x v="7"/>
    <s v="Acute"/>
  </r>
  <r>
    <s v="RRV"/>
    <s v="UNIVERSITY COLLEGE LONDON HOSPITALS NHS FOUNDATION TRUST"/>
    <s v="NCL"/>
    <x v="12"/>
    <n v="696"/>
    <n v="306"/>
    <n v="0.43965517241379298"/>
    <x v="7"/>
    <s v="Acute"/>
  </r>
  <r>
    <s v="RRV"/>
    <s v="UNIVERSITY COLLEGE LONDON HOSPITALS NHS FOUNDATION TRUST"/>
    <s v="NCL"/>
    <x v="6"/>
    <n v="230"/>
    <n v="43"/>
    <n v="0.18695652173912999"/>
    <x v="7"/>
    <s v="Acute"/>
  </r>
  <r>
    <s v="RRV"/>
    <s v="UNIVERSITY COLLEGE LONDON HOSPITALS NHS FOUNDATION TRUST"/>
    <s v="NCL"/>
    <x v="13"/>
    <n v="672"/>
    <n v="266"/>
    <n v="0.39583333333333298"/>
    <x v="7"/>
    <s v="Acute"/>
  </r>
  <r>
    <s v="RRV"/>
    <s v="UNIVERSITY COLLEGE LONDON HOSPITALS NHS FOUNDATION TRUST"/>
    <s v="NCL"/>
    <x v="15"/>
    <n v="138"/>
    <n v="76"/>
    <n v="0.55072463768115898"/>
    <x v="7"/>
    <s v="Acute"/>
  </r>
  <r>
    <s v="RRV"/>
    <s v="UNIVERSITY COLLEGE LONDON HOSPITALS NHS FOUNDATION TRUST"/>
    <s v="NCL"/>
    <x v="10"/>
    <n v="733"/>
    <n v="168"/>
    <n v="0.22919508867667099"/>
    <x v="7"/>
    <s v="Acute"/>
  </r>
  <r>
    <s v="RRV"/>
    <s v="UNIVERSITY COLLEGE LONDON HOSPITALS NHS FOUNDATION TRUST"/>
    <s v="NCL"/>
    <x v="14"/>
    <n v="40"/>
    <n v="11"/>
    <n v="0.27500000000000002"/>
    <x v="7"/>
    <s v="Acute"/>
  </r>
  <r>
    <s v="RRV"/>
    <s v="UNIVERSITY COLLEGE LONDON HOSPITALS NHS FOUNDATION TRUST"/>
    <s v="NCL"/>
    <x v="1"/>
    <n v="598"/>
    <n v="264"/>
    <n v="0.441471571906354"/>
    <x v="7"/>
    <s v="Acute"/>
  </r>
  <r>
    <s v="RRV"/>
    <s v="UNIVERSITY COLLEGE LONDON HOSPITALS NHS FOUNDATION TRUST"/>
    <s v="NCL"/>
    <x v="0"/>
    <n v="150"/>
    <n v="58"/>
    <n v="0.38666666666666599"/>
    <x v="7"/>
    <s v="Acute"/>
  </r>
  <r>
    <s v="RRV"/>
    <s v="UNIVERSITY COLLEGE LONDON HOSPITALS NHS FOUNDATION TRUST"/>
    <s v="NCL"/>
    <x v="1"/>
    <n v="18"/>
    <n v="1"/>
    <n v="5.5555555555555497E-2"/>
    <x v="7"/>
    <s v="Acute"/>
  </r>
  <r>
    <s v="RRV"/>
    <s v="UNIVERSITY COLLEGE LONDON HOSPITALS NHS FOUNDATION TRUST"/>
    <s v="NCL"/>
    <x v="3"/>
    <n v="1051"/>
    <n v="458"/>
    <n v="0.43577545195052297"/>
    <x v="7"/>
    <s v="Acute"/>
  </r>
  <r>
    <s v="RRV"/>
    <s v="UNIVERSITY COLLEGE LONDON HOSPITALS NHS FOUNDATION TRUST"/>
    <s v="NCL"/>
    <x v="16"/>
    <n v="1022"/>
    <n v="398"/>
    <n v="0.38943248532289598"/>
    <x v="7"/>
    <s v="Acute"/>
  </r>
  <r>
    <s v="RRV"/>
    <s v="UNIVERSITY COLLEGE LONDON HOSPITALS NHS FOUNDATION TRUST"/>
    <s v="NCL"/>
    <x v="5"/>
    <n v="2240"/>
    <n v="1349"/>
    <n v="0.60223214285714199"/>
    <x v="7"/>
    <s v="Acute"/>
  </r>
  <r>
    <s v="RKE"/>
    <s v="WHITTINGTON HEALTH NHS TRUST"/>
    <s v="NCL"/>
    <x v="7"/>
    <n v="39"/>
    <n v="10"/>
    <n v="0.256410256410256"/>
    <x v="8"/>
    <s v="Acute &amp; Community"/>
  </r>
  <r>
    <s v="RKE"/>
    <s v="WHITTINGTON HEALTH NHS TRUST"/>
    <s v="NCL"/>
    <x v="10"/>
    <n v="412"/>
    <n v="94"/>
    <n v="0.228155339805825"/>
    <x v="8"/>
    <s v="Acute &amp; Community"/>
  </r>
  <r>
    <s v="RKE"/>
    <s v="WHITTINGTON HEALTH NHS TRUST"/>
    <s v="NCL"/>
    <x v="2"/>
    <n v="38"/>
    <n v="6"/>
    <n v="0.157894736842105"/>
    <x v="8"/>
    <s v="Acute &amp; Community"/>
  </r>
  <r>
    <s v="RKE"/>
    <s v="WHITTINGTON HEALTH NHS TRUST"/>
    <s v="NCL"/>
    <x v="11"/>
    <n v="28"/>
    <n v="13"/>
    <n v="0.46428571428571402"/>
    <x v="8"/>
    <s v="Acute &amp; Community"/>
  </r>
  <r>
    <s v="RKE"/>
    <s v="WHITTINGTON HEALTH NHS TRUST"/>
    <s v="NCL"/>
    <x v="14"/>
    <n v="21"/>
    <n v="6"/>
    <n v="0.28571428571428498"/>
    <x v="8"/>
    <s v="Acute &amp; Community"/>
  </r>
  <r>
    <s v="RKE"/>
    <s v="WHITTINGTON HEALTH NHS TRUST"/>
    <s v="NCL"/>
    <x v="0"/>
    <n v="53"/>
    <n v="17"/>
    <n v="0.320754716981132"/>
    <x v="8"/>
    <s v="Acute &amp; Community"/>
  </r>
  <r>
    <s v="RKE"/>
    <s v="WHITTINGTON HEALTH NHS TRUST"/>
    <s v="NCL"/>
    <x v="4"/>
    <n v="127"/>
    <n v="21"/>
    <n v="0.16535433070866101"/>
    <x v="8"/>
    <s v="Acute &amp; Community"/>
  </r>
  <r>
    <s v="RKE"/>
    <s v="WHITTINGTON HEALTH NHS TRUST"/>
    <s v="NCL"/>
    <x v="1"/>
    <n v="227"/>
    <n v="94"/>
    <n v="0.41409691629955903"/>
    <x v="8"/>
    <s v="Acute &amp; Community"/>
  </r>
  <r>
    <s v="RKE"/>
    <s v="WHITTINGTON HEALTH NHS TRUST"/>
    <s v="NCL"/>
    <x v="15"/>
    <n v="59"/>
    <n v="41"/>
    <n v="0.69491525423728795"/>
    <x v="8"/>
    <s v="Acute &amp; Community"/>
  </r>
  <r>
    <s v="RKE"/>
    <s v="WHITTINGTON HEALTH NHS TRUST"/>
    <s v="NCL"/>
    <x v="8"/>
    <n v="34"/>
    <n v="10"/>
    <n v="0.29411764705882298"/>
    <x v="8"/>
    <s v="Acute &amp; Community"/>
  </r>
  <r>
    <s v="RKE"/>
    <s v="WHITTINGTON HEALTH NHS TRUST"/>
    <s v="NCL"/>
    <x v="13"/>
    <n v="217"/>
    <n v="84"/>
    <n v="0.38709677419354799"/>
    <x v="8"/>
    <s v="Acute &amp; Community"/>
  </r>
  <r>
    <s v="RKE"/>
    <s v="WHITTINGTON HEALTH NHS TRUST"/>
    <s v="NCL"/>
    <x v="12"/>
    <n v="207"/>
    <n v="79"/>
    <n v="0.38164251207729399"/>
    <x v="8"/>
    <s v="Acute &amp; Community"/>
  </r>
  <r>
    <s v="RKE"/>
    <s v="WHITTINGTON HEALTH NHS TRUST"/>
    <s v="NCL"/>
    <x v="9"/>
    <n v="16"/>
    <n v="7"/>
    <n v="0.4375"/>
    <x v="8"/>
    <s v="Acute &amp; Community"/>
  </r>
  <r>
    <s v="RKE"/>
    <s v="WHITTINGTON HEALTH NHS TRUST"/>
    <s v="NCL"/>
    <x v="3"/>
    <n v="380"/>
    <n v="158"/>
    <n v="0.41578947368420999"/>
    <x v="8"/>
    <s v="Acute &amp; Community"/>
  </r>
  <r>
    <s v="RKE"/>
    <s v="WHITTINGTON HEALTH NHS TRUST"/>
    <s v="NCL"/>
    <x v="6"/>
    <n v="124"/>
    <n v="21"/>
    <n v="0.16935483870967699"/>
    <x v="8"/>
    <s v="Acute &amp; Community"/>
  </r>
  <r>
    <s v="RKE"/>
    <s v="WHITTINGTON HEALTH NHS TRUST"/>
    <s v="NCL"/>
    <x v="16"/>
    <n v="252"/>
    <n v="85"/>
    <n v="0.33730158730158699"/>
    <x v="8"/>
    <s v="Acute &amp; Community"/>
  </r>
  <r>
    <s v="RKE"/>
    <s v="WHITTINGTON HEALTH NHS TRUST"/>
    <s v="NCL"/>
    <x v="1"/>
    <n v="1"/>
    <n v="0"/>
    <n v="0"/>
    <x v="8"/>
    <s v="Acute &amp; Community"/>
  </r>
  <r>
    <s v="RKE"/>
    <s v="WHITTINGTON HEALTH NHS TRUST"/>
    <s v="NCL"/>
    <x v="5"/>
    <n v="721"/>
    <n v="424"/>
    <n v="0.58807212205270398"/>
    <x v="8"/>
    <s v="Acute &amp; Community"/>
  </r>
  <r>
    <s v="RF4"/>
    <s v="BARKING, HAVERING AND REDBRIDGE UNIVERSITY HOSPITALS NHS TRUST"/>
    <s v="NEL"/>
    <x v="11"/>
    <n v="60"/>
    <n v="28"/>
    <n v="0.46666666666666601"/>
    <x v="9"/>
    <s v="Acute"/>
  </r>
  <r>
    <s v="RF4"/>
    <s v="BARKING, HAVERING AND REDBRIDGE UNIVERSITY HOSPITALS NHS TRUST"/>
    <s v="NEL"/>
    <x v="1"/>
    <n v="377"/>
    <n v="145"/>
    <n v="0.38461538461538403"/>
    <x v="9"/>
    <s v="Acute"/>
  </r>
  <r>
    <s v="RF4"/>
    <s v="BARKING, HAVERING AND REDBRIDGE UNIVERSITY HOSPITALS NHS TRUST"/>
    <s v="NEL"/>
    <x v="0"/>
    <n v="93"/>
    <n v="38"/>
    <n v="0.40860215053763399"/>
    <x v="9"/>
    <s v="Acute"/>
  </r>
  <r>
    <s v="RF4"/>
    <s v="BARKING, HAVERING AND REDBRIDGE UNIVERSITY HOSPITALS NHS TRUST"/>
    <s v="NEL"/>
    <x v="6"/>
    <n v="264"/>
    <n v="71"/>
    <n v="0.26893939393939298"/>
    <x v="9"/>
    <s v="Acute"/>
  </r>
  <r>
    <s v="RF4"/>
    <s v="BARKING, HAVERING AND REDBRIDGE UNIVERSITY HOSPITALS NHS TRUST"/>
    <s v="NEL"/>
    <x v="8"/>
    <n v="235"/>
    <n v="73"/>
    <n v="0.31063829787233999"/>
    <x v="9"/>
    <s v="Acute"/>
  </r>
  <r>
    <s v="RF4"/>
    <s v="BARKING, HAVERING AND REDBRIDGE UNIVERSITY HOSPITALS NHS TRUST"/>
    <s v="NEL"/>
    <x v="7"/>
    <n v="296"/>
    <n v="99"/>
    <n v="0.33445945945945899"/>
    <x v="9"/>
    <s v="Acute"/>
  </r>
  <r>
    <s v="RF4"/>
    <s v="BARKING, HAVERING AND REDBRIDGE UNIVERSITY HOSPITALS NHS TRUST"/>
    <s v="NEL"/>
    <x v="3"/>
    <n v="499"/>
    <n v="190"/>
    <n v="0.38076152304609201"/>
    <x v="9"/>
    <s v="Acute"/>
  </r>
  <r>
    <s v="RF4"/>
    <s v="BARKING, HAVERING AND REDBRIDGE UNIVERSITY HOSPITALS NHS TRUST"/>
    <s v="NEL"/>
    <x v="13"/>
    <n v="794"/>
    <n v="314"/>
    <n v="0.39546599496221602"/>
    <x v="9"/>
    <s v="Acute"/>
  </r>
  <r>
    <s v="RF4"/>
    <s v="BARKING, HAVERING AND REDBRIDGE UNIVERSITY HOSPITALS NHS TRUST"/>
    <s v="NEL"/>
    <x v="1"/>
    <n v="3"/>
    <n v="1"/>
    <n v="0.33333333333333298"/>
    <x v="9"/>
    <s v="Acute"/>
  </r>
  <r>
    <s v="RF4"/>
    <s v="BARKING, HAVERING AND REDBRIDGE UNIVERSITY HOSPITALS NHS TRUST"/>
    <s v="NEL"/>
    <x v="12"/>
    <n v="522"/>
    <n v="226"/>
    <n v="0.43295019157088099"/>
    <x v="9"/>
    <s v="Acute"/>
  </r>
  <r>
    <s v="RF4"/>
    <s v="BARKING, HAVERING AND REDBRIDGE UNIVERSITY HOSPITALS NHS TRUST"/>
    <s v="NEL"/>
    <x v="9"/>
    <n v="42"/>
    <n v="17"/>
    <n v="0.40476190476190399"/>
    <x v="9"/>
    <s v="Acute"/>
  </r>
  <r>
    <s v="RF4"/>
    <s v="BARKING, HAVERING AND REDBRIDGE UNIVERSITY HOSPITALS NHS TRUST"/>
    <s v="NEL"/>
    <x v="14"/>
    <n v="36"/>
    <n v="14"/>
    <n v="0.38888888888888801"/>
    <x v="9"/>
    <s v="Acute"/>
  </r>
  <r>
    <s v="RF4"/>
    <s v="BARKING, HAVERING AND REDBRIDGE UNIVERSITY HOSPITALS NHS TRUST"/>
    <s v="NEL"/>
    <x v="2"/>
    <n v="85"/>
    <n v="20"/>
    <n v="0.23529411764705799"/>
    <x v="9"/>
    <s v="Acute"/>
  </r>
  <r>
    <s v="RF4"/>
    <s v="BARKING, HAVERING AND REDBRIDGE UNIVERSITY HOSPITALS NHS TRUST"/>
    <s v="NEL"/>
    <x v="5"/>
    <n v="1520"/>
    <n v="747"/>
    <n v="0.49144736842105202"/>
    <x v="9"/>
    <s v="Acute"/>
  </r>
  <r>
    <s v="RF4"/>
    <s v="BARKING, HAVERING AND REDBRIDGE UNIVERSITY HOSPITALS NHS TRUST"/>
    <s v="NEL"/>
    <x v="16"/>
    <n v="655"/>
    <n v="311"/>
    <n v="0.47480916030534298"/>
    <x v="9"/>
    <s v="Acute"/>
  </r>
  <r>
    <s v="RF4"/>
    <s v="BARKING, HAVERING AND REDBRIDGE UNIVERSITY HOSPITALS NHS TRUST"/>
    <s v="NEL"/>
    <x v="10"/>
    <n v="1279"/>
    <n v="383"/>
    <n v="0.29945269741985903"/>
    <x v="9"/>
    <s v="Acute"/>
  </r>
  <r>
    <s v="RF4"/>
    <s v="BARKING, HAVERING AND REDBRIDGE UNIVERSITY HOSPITALS NHS TRUST"/>
    <s v="NEL"/>
    <x v="4"/>
    <n v="145"/>
    <n v="48"/>
    <n v="0.33103448275862002"/>
    <x v="9"/>
    <s v="Acute"/>
  </r>
  <r>
    <s v="RF4"/>
    <s v="BARKING, HAVERING AND REDBRIDGE UNIVERSITY HOSPITALS NHS TRUST"/>
    <s v="NEL"/>
    <x v="15"/>
    <n v="62"/>
    <n v="22"/>
    <n v="0.35483870967741898"/>
    <x v="9"/>
    <s v="Acute"/>
  </r>
  <r>
    <s v="R1H"/>
    <s v="BARTS HEALTH NHS TRUST"/>
    <s v="NEL"/>
    <x v="1"/>
    <n v="1266"/>
    <n v="398"/>
    <n v="0.31437598736176903"/>
    <x v="10"/>
    <s v="Acute"/>
  </r>
  <r>
    <s v="R1H"/>
    <s v="BARTS HEALTH NHS TRUST"/>
    <s v="NEL"/>
    <x v="10"/>
    <n v="3618"/>
    <n v="850"/>
    <n v="0.234936428966279"/>
    <x v="10"/>
    <s v="Acute"/>
  </r>
  <r>
    <s v="R1H"/>
    <s v="BARTS HEALTH NHS TRUST"/>
    <s v="NEL"/>
    <x v="8"/>
    <n v="1232"/>
    <n v="238"/>
    <n v="0.19318181818181801"/>
    <x v="10"/>
    <s v="Acute"/>
  </r>
  <r>
    <s v="R1H"/>
    <s v="BARTS HEALTH NHS TRUST"/>
    <s v="NEL"/>
    <x v="6"/>
    <n v="889"/>
    <n v="196"/>
    <n v="0.220472440944881"/>
    <x v="10"/>
    <s v="Acute"/>
  </r>
  <r>
    <s v="R1H"/>
    <s v="BARTS HEALTH NHS TRUST"/>
    <s v="NEL"/>
    <x v="1"/>
    <n v="57"/>
    <n v="3"/>
    <n v="5.2631578947368397E-2"/>
    <x v="10"/>
    <s v="Acute"/>
  </r>
  <r>
    <s v="R1H"/>
    <s v="BARTS HEALTH NHS TRUST"/>
    <s v="NEL"/>
    <x v="14"/>
    <n v="122"/>
    <n v="26"/>
    <n v="0.21311475409836"/>
    <x v="10"/>
    <s v="Acute"/>
  </r>
  <r>
    <s v="R1H"/>
    <s v="BARTS HEALTH NHS TRUST"/>
    <s v="NEL"/>
    <x v="12"/>
    <n v="1533"/>
    <n v="541"/>
    <n v="0.35290280495759901"/>
    <x v="10"/>
    <s v="Acute"/>
  </r>
  <r>
    <s v="R1H"/>
    <s v="BARTS HEALTH NHS TRUST"/>
    <s v="NEL"/>
    <x v="7"/>
    <n v="718"/>
    <n v="181"/>
    <n v="0.25208913649025"/>
    <x v="10"/>
    <s v="Acute"/>
  </r>
  <r>
    <s v="R1H"/>
    <s v="BARTS HEALTH NHS TRUST"/>
    <s v="NEL"/>
    <x v="16"/>
    <n v="1863"/>
    <n v="693"/>
    <n v="0.37198067632850201"/>
    <x v="10"/>
    <s v="Acute"/>
  </r>
  <r>
    <s v="R1H"/>
    <s v="BARTS HEALTH NHS TRUST"/>
    <s v="NEL"/>
    <x v="2"/>
    <n v="234"/>
    <n v="50"/>
    <n v="0.213675213675213"/>
    <x v="10"/>
    <s v="Acute"/>
  </r>
  <r>
    <s v="R1H"/>
    <s v="BARTS HEALTH NHS TRUST"/>
    <s v="NEL"/>
    <x v="13"/>
    <n v="1940"/>
    <n v="668"/>
    <n v="0.34432989690721599"/>
    <x v="10"/>
    <s v="Acute"/>
  </r>
  <r>
    <s v="R1H"/>
    <s v="BARTS HEALTH NHS TRUST"/>
    <s v="NEL"/>
    <x v="9"/>
    <n v="148"/>
    <n v="51"/>
    <n v="0.34459459459459402"/>
    <x v="10"/>
    <s v="Acute"/>
  </r>
  <r>
    <s v="R1H"/>
    <s v="BARTS HEALTH NHS TRUST"/>
    <s v="NEL"/>
    <x v="11"/>
    <n v="296"/>
    <n v="138"/>
    <n v="0.46621621621621601"/>
    <x v="10"/>
    <s v="Acute"/>
  </r>
  <r>
    <s v="R1H"/>
    <s v="BARTS HEALTH NHS TRUST"/>
    <s v="NEL"/>
    <x v="5"/>
    <n v="4283"/>
    <n v="2271"/>
    <n v="0.53023581601681002"/>
    <x v="10"/>
    <s v="Acute"/>
  </r>
  <r>
    <s v="R1H"/>
    <s v="BARTS HEALTH NHS TRUST"/>
    <s v="NEL"/>
    <x v="3"/>
    <n v="2073"/>
    <n v="742"/>
    <n v="0.35793535938253701"/>
    <x v="10"/>
    <s v="Acute"/>
  </r>
  <r>
    <s v="R1H"/>
    <s v="BARTS HEALTH NHS TRUST"/>
    <s v="NEL"/>
    <x v="0"/>
    <n v="347"/>
    <n v="124"/>
    <n v="0.35734870317002798"/>
    <x v="10"/>
    <s v="Acute"/>
  </r>
  <r>
    <s v="R1H"/>
    <s v="BARTS HEALTH NHS TRUST"/>
    <s v="NEL"/>
    <x v="15"/>
    <n v="237"/>
    <n v="115"/>
    <n v="0.48523206751054798"/>
    <x v="10"/>
    <s v="Acute"/>
  </r>
  <r>
    <s v="R1H"/>
    <s v="BARTS HEALTH NHS TRUST"/>
    <s v="NEL"/>
    <x v="4"/>
    <n v="568"/>
    <n v="104"/>
    <n v="0.183098591549295"/>
    <x v="10"/>
    <s v="Acute"/>
  </r>
  <r>
    <s v="RWK"/>
    <s v="EAST LONDON NHS FOUNDATION TRUST"/>
    <s v="NEL"/>
    <x v="12"/>
    <n v="191"/>
    <n v="53"/>
    <n v="0.27748691099476402"/>
    <x v="11"/>
    <s v="Mental Health &amp; Community"/>
  </r>
  <r>
    <s v="RWK"/>
    <s v="EAST LONDON NHS FOUNDATION TRUST"/>
    <s v="NEL"/>
    <x v="1"/>
    <n v="7"/>
    <n v="0"/>
    <n v="0"/>
    <x v="11"/>
    <s v="Mental Health &amp; Community"/>
  </r>
  <r>
    <s v="RWK"/>
    <s v="EAST LONDON NHS FOUNDATION TRUST"/>
    <s v="NEL"/>
    <x v="13"/>
    <n v="336"/>
    <n v="115"/>
    <n v="0.34226190476190399"/>
    <x v="11"/>
    <s v="Mental Health &amp; Community"/>
  </r>
  <r>
    <s v="RWK"/>
    <s v="EAST LONDON NHS FOUNDATION TRUST"/>
    <s v="NEL"/>
    <x v="16"/>
    <n v="232"/>
    <n v="78"/>
    <n v="0.33620689655172398"/>
    <x v="11"/>
    <s v="Mental Health &amp; Community"/>
  </r>
  <r>
    <s v="RWK"/>
    <s v="EAST LONDON NHS FOUNDATION TRUST"/>
    <s v="NEL"/>
    <x v="15"/>
    <n v="74"/>
    <n v="31"/>
    <n v="0.41891891891891803"/>
    <x v="11"/>
    <s v="Mental Health &amp; Community"/>
  </r>
  <r>
    <s v="RWK"/>
    <s v="EAST LONDON NHS FOUNDATION TRUST"/>
    <s v="NEL"/>
    <x v="1"/>
    <n v="391"/>
    <n v="100"/>
    <n v="0.25575447570332399"/>
    <x v="11"/>
    <s v="Mental Health &amp; Community"/>
  </r>
  <r>
    <s v="RWK"/>
    <s v="EAST LONDON NHS FOUNDATION TRUST"/>
    <s v="NEL"/>
    <x v="6"/>
    <n v="414"/>
    <n v="92"/>
    <n v="0.22222222222222199"/>
    <x v="11"/>
    <s v="Mental Health &amp; Community"/>
  </r>
  <r>
    <s v="RWK"/>
    <s v="EAST LONDON NHS FOUNDATION TRUST"/>
    <s v="NEL"/>
    <x v="7"/>
    <n v="195"/>
    <n v="27"/>
    <n v="0.138461538461538"/>
    <x v="11"/>
    <s v="Mental Health &amp; Community"/>
  </r>
  <r>
    <s v="RWK"/>
    <s v="EAST LONDON NHS FOUNDATION TRUST"/>
    <s v="NEL"/>
    <x v="10"/>
    <n v="1936"/>
    <n v="479"/>
    <n v="0.24741735537189999"/>
    <x v="11"/>
    <s v="Mental Health &amp; Community"/>
  </r>
  <r>
    <s v="RWK"/>
    <s v="EAST LONDON NHS FOUNDATION TRUST"/>
    <s v="NEL"/>
    <x v="5"/>
    <n v="1928"/>
    <n v="927"/>
    <n v="0.48080912863070502"/>
    <x v="11"/>
    <s v="Mental Health &amp; Community"/>
  </r>
  <r>
    <s v="RWK"/>
    <s v="EAST LONDON NHS FOUNDATION TRUST"/>
    <s v="NEL"/>
    <x v="4"/>
    <n v="290"/>
    <n v="52"/>
    <n v="0.17931034482758601"/>
    <x v="11"/>
    <s v="Mental Health &amp; Community"/>
  </r>
  <r>
    <s v="RWK"/>
    <s v="EAST LONDON NHS FOUNDATION TRUST"/>
    <s v="NEL"/>
    <x v="0"/>
    <n v="72"/>
    <n v="23"/>
    <n v="0.31944444444444398"/>
    <x v="11"/>
    <s v="Mental Health &amp; Community"/>
  </r>
  <r>
    <s v="RWK"/>
    <s v="EAST LONDON NHS FOUNDATION TRUST"/>
    <s v="NEL"/>
    <x v="14"/>
    <n v="66"/>
    <n v="11"/>
    <n v="0.16666666666666599"/>
    <x v="11"/>
    <s v="Mental Health &amp; Community"/>
  </r>
  <r>
    <s v="RWK"/>
    <s v="EAST LONDON NHS FOUNDATION TRUST"/>
    <s v="NEL"/>
    <x v="8"/>
    <n v="272"/>
    <n v="52"/>
    <n v="0.191176470588235"/>
    <x v="11"/>
    <s v="Mental Health &amp; Community"/>
  </r>
  <r>
    <s v="RWK"/>
    <s v="EAST LONDON NHS FOUNDATION TRUST"/>
    <s v="NEL"/>
    <x v="11"/>
    <n v="45"/>
    <n v="15"/>
    <n v="0.33333333333333298"/>
    <x v="11"/>
    <s v="Mental Health &amp; Community"/>
  </r>
  <r>
    <s v="RWK"/>
    <s v="EAST LONDON NHS FOUNDATION TRUST"/>
    <s v="NEL"/>
    <x v="3"/>
    <n v="559"/>
    <n v="199"/>
    <n v="0.355992844364937"/>
    <x v="11"/>
    <s v="Mental Health &amp; Community"/>
  </r>
  <r>
    <s v="RWK"/>
    <s v="EAST LONDON NHS FOUNDATION TRUST"/>
    <s v="NEL"/>
    <x v="9"/>
    <n v="32"/>
    <n v="15"/>
    <n v="0.46875"/>
    <x v="11"/>
    <s v="Mental Health &amp; Community"/>
  </r>
  <r>
    <s v="RWK"/>
    <s v="EAST LONDON NHS FOUNDATION TRUST"/>
    <s v="NEL"/>
    <x v="2"/>
    <n v="106"/>
    <n v="15"/>
    <n v="0.14150943396226401"/>
    <x v="11"/>
    <s v="Mental Health &amp; Community"/>
  </r>
  <r>
    <s v="RQX"/>
    <s v="HOMERTON HEALTHCARE NHS FOUNDATION TRUST"/>
    <s v="NEL"/>
    <x v="11"/>
    <n v="52"/>
    <n v="32"/>
    <n v="0.61538461538461497"/>
    <x v="12"/>
    <s v="Acute"/>
  </r>
  <r>
    <s v="RQX"/>
    <s v="HOMERTON HEALTHCARE NHS FOUNDATION TRUST"/>
    <s v="NEL"/>
    <x v="0"/>
    <n v="63"/>
    <n v="30"/>
    <n v="0.476190476190476"/>
    <x v="12"/>
    <s v="Acute"/>
  </r>
  <r>
    <s v="RQX"/>
    <s v="HOMERTON HEALTHCARE NHS FOUNDATION TRUST"/>
    <s v="NEL"/>
    <x v="15"/>
    <n v="60"/>
    <n v="37"/>
    <n v="0.61666666666666603"/>
    <x v="12"/>
    <s v="Acute"/>
  </r>
  <r>
    <s v="RQX"/>
    <s v="HOMERTON HEALTHCARE NHS FOUNDATION TRUST"/>
    <s v="NEL"/>
    <x v="1"/>
    <n v="3"/>
    <n v="1"/>
    <n v="0.33333333333333298"/>
    <x v="12"/>
    <s v="Acute"/>
  </r>
  <r>
    <s v="RQX"/>
    <s v="HOMERTON HEALTHCARE NHS FOUNDATION TRUST"/>
    <s v="NEL"/>
    <x v="9"/>
    <n v="35"/>
    <n v="22"/>
    <n v="0.628571428571428"/>
    <x v="12"/>
    <s v="Acute"/>
  </r>
  <r>
    <s v="RQX"/>
    <s v="HOMERTON HEALTHCARE NHS FOUNDATION TRUST"/>
    <s v="NEL"/>
    <x v="4"/>
    <n v="164"/>
    <n v="35"/>
    <n v="0.21341463414634099"/>
    <x v="12"/>
    <s v="Acute"/>
  </r>
  <r>
    <s v="RQX"/>
    <s v="HOMERTON HEALTHCARE NHS FOUNDATION TRUST"/>
    <s v="NEL"/>
    <x v="6"/>
    <n v="189"/>
    <n v="54"/>
    <n v="0.28571428571428498"/>
    <x v="12"/>
    <s v="Acute"/>
  </r>
  <r>
    <s v="RQX"/>
    <s v="HOMERTON HEALTHCARE NHS FOUNDATION TRUST"/>
    <s v="NEL"/>
    <x v="13"/>
    <n v="261"/>
    <n v="123"/>
    <n v="0.47126436781609099"/>
    <x v="12"/>
    <s v="Acute"/>
  </r>
  <r>
    <s v="RQX"/>
    <s v="HOMERTON HEALTHCARE NHS FOUNDATION TRUST"/>
    <s v="NEL"/>
    <x v="1"/>
    <n v="190"/>
    <n v="90"/>
    <n v="0.47368421052631499"/>
    <x v="12"/>
    <s v="Acute"/>
  </r>
  <r>
    <s v="RQX"/>
    <s v="HOMERTON HEALTHCARE NHS FOUNDATION TRUST"/>
    <s v="NEL"/>
    <x v="8"/>
    <n v="120"/>
    <n v="32"/>
    <n v="0.266666666666666"/>
    <x v="12"/>
    <s v="Acute"/>
  </r>
  <r>
    <s v="RQX"/>
    <s v="HOMERTON HEALTHCARE NHS FOUNDATION TRUST"/>
    <s v="NEL"/>
    <x v="16"/>
    <n v="186"/>
    <n v="95"/>
    <n v="0.510752688172043"/>
    <x v="12"/>
    <s v="Acute"/>
  </r>
  <r>
    <s v="RQX"/>
    <s v="HOMERTON HEALTHCARE NHS FOUNDATION TRUST"/>
    <s v="NEL"/>
    <x v="14"/>
    <n v="22"/>
    <n v="9"/>
    <n v="0.40909090909090901"/>
    <x v="12"/>
    <s v="Acute"/>
  </r>
  <r>
    <s v="RQX"/>
    <s v="HOMERTON HEALTHCARE NHS FOUNDATION TRUST"/>
    <s v="NEL"/>
    <x v="5"/>
    <n v="928"/>
    <n v="578"/>
    <n v="0.62284482758620596"/>
    <x v="12"/>
    <s v="Acute"/>
  </r>
  <r>
    <s v="RQX"/>
    <s v="HOMERTON HEALTHCARE NHS FOUNDATION TRUST"/>
    <s v="NEL"/>
    <x v="3"/>
    <n v="402"/>
    <n v="203"/>
    <n v="0.50497512437810899"/>
    <x v="12"/>
    <s v="Acute"/>
  </r>
  <r>
    <s v="RQX"/>
    <s v="HOMERTON HEALTHCARE NHS FOUNDATION TRUST"/>
    <s v="NEL"/>
    <x v="10"/>
    <n v="644"/>
    <n v="212"/>
    <n v="0.32919254658385"/>
    <x v="12"/>
    <s v="Acute"/>
  </r>
  <r>
    <s v="RQX"/>
    <s v="HOMERTON HEALTHCARE NHS FOUNDATION TRUST"/>
    <s v="NEL"/>
    <x v="7"/>
    <n v="90"/>
    <n v="27"/>
    <n v="0.3"/>
    <x v="12"/>
    <s v="Acute"/>
  </r>
  <r>
    <s v="RQX"/>
    <s v="HOMERTON HEALTHCARE NHS FOUNDATION TRUST"/>
    <s v="NEL"/>
    <x v="12"/>
    <n v="216"/>
    <n v="96"/>
    <n v="0.44444444444444398"/>
    <x v="12"/>
    <s v="Acute"/>
  </r>
  <r>
    <s v="RQX"/>
    <s v="HOMERTON HEALTHCARE NHS FOUNDATION TRUST"/>
    <s v="NEL"/>
    <x v="2"/>
    <n v="42"/>
    <n v="14"/>
    <n v="0.33333333333333298"/>
    <x v="12"/>
    <s v="Acute"/>
  </r>
  <r>
    <s v="RAT"/>
    <s v="NORTH EAST LONDON NHS FOUNDATION TRUST"/>
    <s v="NEL"/>
    <x v="2"/>
    <n v="87"/>
    <n v="22"/>
    <n v="0.25287356321839"/>
    <x v="13"/>
    <s v="Mental Health &amp; Community"/>
  </r>
  <r>
    <s v="RAT"/>
    <s v="NORTH EAST LONDON NHS FOUNDATION TRUST"/>
    <s v="NEL"/>
    <x v="7"/>
    <n v="153"/>
    <n v="41"/>
    <n v="0.26797385620914999"/>
    <x v="13"/>
    <s v="Mental Health &amp; Community"/>
  </r>
  <r>
    <s v="RAT"/>
    <s v="NORTH EAST LONDON NHS FOUNDATION TRUST"/>
    <s v="NEL"/>
    <x v="13"/>
    <n v="377"/>
    <n v="129"/>
    <n v="0.34217506631299699"/>
    <x v="13"/>
    <s v="Mental Health &amp; Community"/>
  </r>
  <r>
    <s v="RAT"/>
    <s v="NORTH EAST LONDON NHS FOUNDATION TRUST"/>
    <s v="NEL"/>
    <x v="1"/>
    <n v="315"/>
    <n v="94"/>
    <n v="0.29841269841269802"/>
    <x v="13"/>
    <s v="Mental Health &amp; Community"/>
  </r>
  <r>
    <s v="RAT"/>
    <s v="NORTH EAST LONDON NHS FOUNDATION TRUST"/>
    <s v="NEL"/>
    <x v="15"/>
    <n v="63"/>
    <n v="29"/>
    <n v="0.46031746031746001"/>
    <x v="13"/>
    <s v="Mental Health &amp; Community"/>
  </r>
  <r>
    <s v="RAT"/>
    <s v="NORTH EAST LONDON NHS FOUNDATION TRUST"/>
    <s v="NEL"/>
    <x v="6"/>
    <n v="288"/>
    <n v="63"/>
    <n v="0.21875"/>
    <x v="13"/>
    <s v="Mental Health &amp; Community"/>
  </r>
  <r>
    <s v="RAT"/>
    <s v="NORTH EAST LONDON NHS FOUNDATION TRUST"/>
    <s v="NEL"/>
    <x v="10"/>
    <n v="1336"/>
    <n v="342"/>
    <n v="0.25598802395209502"/>
    <x v="13"/>
    <s v="Mental Health &amp; Community"/>
  </r>
  <r>
    <s v="RAT"/>
    <s v="NORTH EAST LONDON NHS FOUNDATION TRUST"/>
    <s v="NEL"/>
    <x v="14"/>
    <n v="38"/>
    <n v="12"/>
    <n v="0.31578947368421001"/>
    <x v="13"/>
    <s v="Mental Health &amp; Community"/>
  </r>
  <r>
    <s v="RAT"/>
    <s v="NORTH EAST LONDON NHS FOUNDATION TRUST"/>
    <s v="NEL"/>
    <x v="9"/>
    <n v="26"/>
    <n v="10"/>
    <n v="0.38461538461538403"/>
    <x v="13"/>
    <s v="Mental Health &amp; Community"/>
  </r>
  <r>
    <s v="RAT"/>
    <s v="NORTH EAST LONDON NHS FOUNDATION TRUST"/>
    <s v="NEL"/>
    <x v="0"/>
    <n v="62"/>
    <n v="15"/>
    <n v="0.241935483870967"/>
    <x v="13"/>
    <s v="Mental Health &amp; Community"/>
  </r>
  <r>
    <s v="RAT"/>
    <s v="NORTH EAST LONDON NHS FOUNDATION TRUST"/>
    <s v="NEL"/>
    <x v="4"/>
    <n v="185"/>
    <n v="31"/>
    <n v="0.16756756756756699"/>
    <x v="13"/>
    <s v="Mental Health &amp; Community"/>
  </r>
  <r>
    <s v="RAT"/>
    <s v="NORTH EAST LONDON NHS FOUNDATION TRUST"/>
    <s v="NEL"/>
    <x v="11"/>
    <n v="39"/>
    <n v="24"/>
    <n v="0.61538461538461497"/>
    <x v="13"/>
    <s v="Mental Health &amp; Community"/>
  </r>
  <r>
    <s v="RAT"/>
    <s v="NORTH EAST LONDON NHS FOUNDATION TRUST"/>
    <s v="NEL"/>
    <x v="3"/>
    <n v="412"/>
    <n v="141"/>
    <n v="0.34223300970873699"/>
    <x v="13"/>
    <s v="Mental Health &amp; Community"/>
  </r>
  <r>
    <s v="RAT"/>
    <s v="NORTH EAST LONDON NHS FOUNDATION TRUST"/>
    <s v="NEL"/>
    <x v="8"/>
    <n v="156"/>
    <n v="30"/>
    <n v="0.19230769230769201"/>
    <x v="13"/>
    <s v="Mental Health &amp; Community"/>
  </r>
  <r>
    <s v="RAT"/>
    <s v="NORTH EAST LONDON NHS FOUNDATION TRUST"/>
    <s v="NEL"/>
    <x v="5"/>
    <n v="2067"/>
    <n v="858"/>
    <n v="0.41509433962264097"/>
    <x v="13"/>
    <s v="Mental Health &amp; Community"/>
  </r>
  <r>
    <s v="RAT"/>
    <s v="NORTH EAST LONDON NHS FOUNDATION TRUST"/>
    <s v="NEL"/>
    <x v="12"/>
    <n v="189"/>
    <n v="60"/>
    <n v="0.317460317460317"/>
    <x v="13"/>
    <s v="Mental Health &amp; Community"/>
  </r>
  <r>
    <s v="RAT"/>
    <s v="NORTH EAST LONDON NHS FOUNDATION TRUST"/>
    <s v="NEL"/>
    <x v="16"/>
    <n v="248"/>
    <n v="80"/>
    <n v="0.32258064516128998"/>
    <x v="13"/>
    <s v="Mental Health &amp; Community"/>
  </r>
  <r>
    <s v="RAT"/>
    <s v="NORTH EAST LONDON NHS FOUNDATION TRUST"/>
    <s v="NEL"/>
    <x v="1"/>
    <n v="2"/>
    <n v="0"/>
    <n v="0"/>
    <x v="13"/>
    <s v="Mental Health &amp; Community"/>
  </r>
  <r>
    <s v="RYX"/>
    <s v="CENTRAL LONDON COMMUNITY HEALTHCARE NHS TRUST"/>
    <s v="NWL"/>
    <x v="1"/>
    <n v="290"/>
    <n v="112"/>
    <n v="0.38620689655172402"/>
    <x v="14"/>
    <s v="Community"/>
  </r>
  <r>
    <s v="RYX"/>
    <s v="CENTRAL LONDON COMMUNITY HEALTHCARE NHS TRUST"/>
    <s v="NWL"/>
    <x v="4"/>
    <n v="253"/>
    <n v="60"/>
    <n v="0.23715415019762801"/>
    <x v="14"/>
    <s v="Community"/>
  </r>
  <r>
    <s v="RYX"/>
    <s v="CENTRAL LONDON COMMUNITY HEALTHCARE NHS TRUST"/>
    <s v="NWL"/>
    <x v="2"/>
    <n v="71"/>
    <n v="15"/>
    <n v="0.21126760563380201"/>
    <x v="14"/>
    <s v="Community"/>
  </r>
  <r>
    <s v="RYX"/>
    <s v="CENTRAL LONDON COMMUNITY HEALTHCARE NHS TRUST"/>
    <s v="NWL"/>
    <x v="0"/>
    <n v="58"/>
    <n v="19"/>
    <n v="0.32758620689655099"/>
    <x v="14"/>
    <s v="Community"/>
  </r>
  <r>
    <s v="RYX"/>
    <s v="CENTRAL LONDON COMMUNITY HEALTHCARE NHS TRUST"/>
    <s v="NWL"/>
    <x v="7"/>
    <n v="50"/>
    <n v="13"/>
    <n v="0.26"/>
    <x v="14"/>
    <s v="Community"/>
  </r>
  <r>
    <s v="RYX"/>
    <s v="CENTRAL LONDON COMMUNITY HEALTHCARE NHS TRUST"/>
    <s v="NWL"/>
    <x v="15"/>
    <n v="77"/>
    <n v="36"/>
    <n v="0.46753246753246702"/>
    <x v="14"/>
    <s v="Community"/>
  </r>
  <r>
    <s v="RYX"/>
    <s v="CENTRAL LONDON COMMUNITY HEALTHCARE NHS TRUST"/>
    <s v="NWL"/>
    <x v="11"/>
    <n v="34"/>
    <n v="15"/>
    <n v="0.441176470588235"/>
    <x v="14"/>
    <s v="Community"/>
  </r>
  <r>
    <s v="RYX"/>
    <s v="CENTRAL LONDON COMMUNITY HEALTHCARE NHS TRUST"/>
    <s v="NWL"/>
    <x v="5"/>
    <n v="1097"/>
    <n v="558"/>
    <n v="0.50865998176845895"/>
    <x v="14"/>
    <s v="Community"/>
  </r>
  <r>
    <s v="RYX"/>
    <s v="CENTRAL LONDON COMMUNITY HEALTHCARE NHS TRUST"/>
    <s v="NWL"/>
    <x v="14"/>
    <n v="50"/>
    <n v="12"/>
    <n v="0.24"/>
    <x v="14"/>
    <s v="Community"/>
  </r>
  <r>
    <s v="RYX"/>
    <s v="CENTRAL LONDON COMMUNITY HEALTHCARE NHS TRUST"/>
    <s v="NWL"/>
    <x v="9"/>
    <n v="22"/>
    <n v="13"/>
    <n v="0.59090909090909005"/>
    <x v="14"/>
    <s v="Community"/>
  </r>
  <r>
    <s v="RYX"/>
    <s v="CENTRAL LONDON COMMUNITY HEALTHCARE NHS TRUST"/>
    <s v="NWL"/>
    <x v="8"/>
    <n v="30"/>
    <n v="9"/>
    <n v="0.3"/>
    <x v="14"/>
    <s v="Community"/>
  </r>
  <r>
    <s v="RYX"/>
    <s v="CENTRAL LONDON COMMUNITY HEALTHCARE NHS TRUST"/>
    <s v="NWL"/>
    <x v="12"/>
    <n v="212"/>
    <n v="78"/>
    <n v="0.36792452830188599"/>
    <x v="14"/>
    <s v="Community"/>
  </r>
  <r>
    <s v="RYX"/>
    <s v="CENTRAL LONDON COMMUNITY HEALTHCARE NHS TRUST"/>
    <s v="NWL"/>
    <x v="10"/>
    <n v="586"/>
    <n v="148"/>
    <n v="0.25255972696245699"/>
    <x v="14"/>
    <s v="Community"/>
  </r>
  <r>
    <s v="RYX"/>
    <s v="CENTRAL LONDON COMMUNITY HEALTHCARE NHS TRUST"/>
    <s v="NWL"/>
    <x v="13"/>
    <n v="383"/>
    <n v="131"/>
    <n v="0.342036553524804"/>
    <x v="14"/>
    <s v="Community"/>
  </r>
  <r>
    <s v="RYX"/>
    <s v="CENTRAL LONDON COMMUNITY HEALTHCARE NHS TRUST"/>
    <s v="NWL"/>
    <x v="6"/>
    <n v="184"/>
    <n v="39"/>
    <n v="0.21195652173912999"/>
    <x v="14"/>
    <s v="Community"/>
  </r>
  <r>
    <s v="RYX"/>
    <s v="CENTRAL LONDON COMMUNITY HEALTHCARE NHS TRUST"/>
    <s v="NWL"/>
    <x v="3"/>
    <n v="358"/>
    <n v="124"/>
    <n v="0.34636871508379802"/>
    <x v="14"/>
    <s v="Community"/>
  </r>
  <r>
    <s v="RYX"/>
    <s v="CENTRAL LONDON COMMUNITY HEALTHCARE NHS TRUST"/>
    <s v="NWL"/>
    <x v="16"/>
    <n v="364"/>
    <n v="158"/>
    <n v="0.43406593406593402"/>
    <x v="14"/>
    <s v="Community"/>
  </r>
  <r>
    <s v="RYX"/>
    <s v="CENTRAL LONDON COMMUNITY HEALTHCARE NHS TRUST"/>
    <s v="NWL"/>
    <x v="1"/>
    <n v="0"/>
    <n v="0"/>
    <m/>
    <x v="14"/>
    <s v="Community"/>
  </r>
  <r>
    <s v="RQM"/>
    <s v="CHELSEA AND WESTMINSTER HOSPITAL NHS FOUNDATION TRUST"/>
    <s v="NWL"/>
    <x v="9"/>
    <n v="42"/>
    <n v="23"/>
    <n v="0.54761904761904701"/>
    <x v="15"/>
    <s v="Acute"/>
  </r>
  <r>
    <s v="RQM"/>
    <s v="CHELSEA AND WESTMINSTER HOSPITAL NHS FOUNDATION TRUST"/>
    <s v="NWL"/>
    <x v="3"/>
    <n v="545"/>
    <n v="231"/>
    <n v="0.423853211009174"/>
    <x v="15"/>
    <s v="Acute"/>
  </r>
  <r>
    <s v="RQM"/>
    <s v="CHELSEA AND WESTMINSTER HOSPITAL NHS FOUNDATION TRUST"/>
    <s v="NWL"/>
    <x v="14"/>
    <n v="31"/>
    <n v="12"/>
    <n v="0.38709677419354799"/>
    <x v="15"/>
    <s v="Acute"/>
  </r>
  <r>
    <s v="RQM"/>
    <s v="CHELSEA AND WESTMINSTER HOSPITAL NHS FOUNDATION TRUST"/>
    <s v="NWL"/>
    <x v="15"/>
    <n v="70"/>
    <n v="37"/>
    <n v="0.52857142857142803"/>
    <x v="15"/>
    <s v="Acute"/>
  </r>
  <r>
    <s v="RQM"/>
    <s v="CHELSEA AND WESTMINSTER HOSPITAL NHS FOUNDATION TRUST"/>
    <s v="NWL"/>
    <x v="6"/>
    <n v="168"/>
    <n v="37"/>
    <n v="0.22023809523809501"/>
    <x v="15"/>
    <s v="Acute"/>
  </r>
  <r>
    <s v="RQM"/>
    <s v="CHELSEA AND WESTMINSTER HOSPITAL NHS FOUNDATION TRUST"/>
    <s v="NWL"/>
    <x v="0"/>
    <n v="87"/>
    <n v="34"/>
    <n v="0.390804597701149"/>
    <x v="15"/>
    <s v="Acute"/>
  </r>
  <r>
    <s v="RQM"/>
    <s v="CHELSEA AND WESTMINSTER HOSPITAL NHS FOUNDATION TRUST"/>
    <s v="NWL"/>
    <x v="1"/>
    <n v="363"/>
    <n v="167"/>
    <n v="0.46005509641873199"/>
    <x v="15"/>
    <s v="Acute"/>
  </r>
  <r>
    <s v="RQM"/>
    <s v="CHELSEA AND WESTMINSTER HOSPITAL NHS FOUNDATION TRUST"/>
    <s v="NWL"/>
    <x v="1"/>
    <n v="6"/>
    <n v="3"/>
    <n v="0.5"/>
    <x v="15"/>
    <s v="Acute"/>
  </r>
  <r>
    <s v="RQM"/>
    <s v="CHELSEA AND WESTMINSTER HOSPITAL NHS FOUNDATION TRUST"/>
    <s v="NWL"/>
    <x v="16"/>
    <n v="681"/>
    <n v="295"/>
    <n v="0.43318649045521201"/>
    <x v="15"/>
    <s v="Acute"/>
  </r>
  <r>
    <s v="RQM"/>
    <s v="CHELSEA AND WESTMINSTER HOSPITAL NHS FOUNDATION TRUST"/>
    <s v="NWL"/>
    <x v="4"/>
    <n v="92"/>
    <n v="20"/>
    <n v="0.217391304347826"/>
    <x v="15"/>
    <s v="Acute"/>
  </r>
  <r>
    <s v="RQM"/>
    <s v="CHELSEA AND WESTMINSTER HOSPITAL NHS FOUNDATION TRUST"/>
    <s v="NWL"/>
    <x v="12"/>
    <n v="438"/>
    <n v="187"/>
    <n v="0.42694063926940601"/>
    <x v="15"/>
    <s v="Acute"/>
  </r>
  <r>
    <s v="RQM"/>
    <s v="CHELSEA AND WESTMINSTER HOSPITAL NHS FOUNDATION TRUST"/>
    <s v="NWL"/>
    <x v="7"/>
    <n v="94"/>
    <n v="25"/>
    <n v="0.26595744680851002"/>
    <x v="15"/>
    <s v="Acute"/>
  </r>
  <r>
    <s v="RQM"/>
    <s v="CHELSEA AND WESTMINSTER HOSPITAL NHS FOUNDATION TRUST"/>
    <s v="NWL"/>
    <x v="11"/>
    <n v="69"/>
    <n v="30"/>
    <n v="0.434782608695652"/>
    <x v="15"/>
    <s v="Acute"/>
  </r>
  <r>
    <s v="RQM"/>
    <s v="CHELSEA AND WESTMINSTER HOSPITAL NHS FOUNDATION TRUST"/>
    <s v="NWL"/>
    <x v="10"/>
    <n v="500"/>
    <n v="136"/>
    <n v="0.27200000000000002"/>
    <x v="15"/>
    <s v="Acute"/>
  </r>
  <r>
    <s v="RQM"/>
    <s v="CHELSEA AND WESTMINSTER HOSPITAL NHS FOUNDATION TRUST"/>
    <s v="NWL"/>
    <x v="8"/>
    <n v="40"/>
    <n v="16"/>
    <n v="0.4"/>
    <x v="15"/>
    <s v="Acute"/>
  </r>
  <r>
    <s v="RQM"/>
    <s v="CHELSEA AND WESTMINSTER HOSPITAL NHS FOUNDATION TRUST"/>
    <s v="NWL"/>
    <x v="2"/>
    <n v="38"/>
    <n v="10"/>
    <n v="0.26315789473684198"/>
    <x v="15"/>
    <s v="Acute"/>
  </r>
  <r>
    <s v="RQM"/>
    <s v="CHELSEA AND WESTMINSTER HOSPITAL NHS FOUNDATION TRUST"/>
    <s v="NWL"/>
    <x v="13"/>
    <n v="400"/>
    <n v="174"/>
    <n v="0.435"/>
    <x v="15"/>
    <s v="Acute"/>
  </r>
  <r>
    <s v="RQM"/>
    <s v="CHELSEA AND WESTMINSTER HOSPITAL NHS FOUNDATION TRUST"/>
    <s v="NWL"/>
    <x v="5"/>
    <n v="1233"/>
    <n v="734"/>
    <n v="0.59529602595296005"/>
    <x v="15"/>
    <s v="Acute"/>
  </r>
  <r>
    <s v="RYJ"/>
    <s v="IMPERIAL COLLEGE HEALTHCARE NHS TRUST"/>
    <s v="NWL"/>
    <x v="0"/>
    <n v="187"/>
    <n v="71"/>
    <n v="0.37967914438502598"/>
    <x v="16"/>
    <s v="Acute"/>
  </r>
  <r>
    <s v="RYJ"/>
    <s v="IMPERIAL COLLEGE HEALTHCARE NHS TRUST"/>
    <s v="NWL"/>
    <x v="7"/>
    <n v="228"/>
    <n v="65"/>
    <n v="0.285087719298245"/>
    <x v="16"/>
    <s v="Acute"/>
  </r>
  <r>
    <s v="RYJ"/>
    <s v="IMPERIAL COLLEGE HEALTHCARE NHS TRUST"/>
    <s v="NWL"/>
    <x v="2"/>
    <n v="123"/>
    <n v="28"/>
    <n v="0.22764227642276399"/>
    <x v="16"/>
    <s v="Acute"/>
  </r>
  <r>
    <s v="RYJ"/>
    <s v="IMPERIAL COLLEGE HEALTHCARE NHS TRUST"/>
    <s v="NWL"/>
    <x v="9"/>
    <n v="90"/>
    <n v="33"/>
    <n v="0.36666666666666597"/>
    <x v="16"/>
    <s v="Acute"/>
  </r>
  <r>
    <s v="RYJ"/>
    <s v="IMPERIAL COLLEGE HEALTHCARE NHS TRUST"/>
    <s v="NWL"/>
    <x v="6"/>
    <n v="437"/>
    <n v="98"/>
    <n v="0.22425629290617799"/>
    <x v="16"/>
    <s v="Acute"/>
  </r>
  <r>
    <s v="RYJ"/>
    <s v="IMPERIAL COLLEGE HEALTHCARE NHS TRUST"/>
    <s v="NWL"/>
    <x v="5"/>
    <n v="2143"/>
    <n v="1169"/>
    <n v="0.54549696686887506"/>
    <x v="16"/>
    <s v="Acute"/>
  </r>
  <r>
    <s v="RYJ"/>
    <s v="IMPERIAL COLLEGE HEALTHCARE NHS TRUST"/>
    <s v="NWL"/>
    <x v="10"/>
    <n v="1519"/>
    <n v="326"/>
    <n v="0.21461487820934799"/>
    <x v="16"/>
    <s v="Acute"/>
  </r>
  <r>
    <s v="RYJ"/>
    <s v="IMPERIAL COLLEGE HEALTHCARE NHS TRUST"/>
    <s v="NWL"/>
    <x v="16"/>
    <n v="1662"/>
    <n v="678"/>
    <n v="0.40794223826714798"/>
    <x v="16"/>
    <s v="Acute"/>
  </r>
  <r>
    <s v="RYJ"/>
    <s v="IMPERIAL COLLEGE HEALTHCARE NHS TRUST"/>
    <s v="NWL"/>
    <x v="12"/>
    <n v="1190"/>
    <n v="419"/>
    <n v="0.35210084033613398"/>
    <x v="16"/>
    <s v="Acute"/>
  </r>
  <r>
    <s v="RYJ"/>
    <s v="IMPERIAL COLLEGE HEALTHCARE NHS TRUST"/>
    <s v="NWL"/>
    <x v="4"/>
    <n v="272"/>
    <n v="61"/>
    <n v="0.22426470588235201"/>
    <x v="16"/>
    <s v="Acute"/>
  </r>
  <r>
    <s v="RYJ"/>
    <s v="IMPERIAL COLLEGE HEALTHCARE NHS TRUST"/>
    <s v="NWL"/>
    <x v="8"/>
    <n v="130"/>
    <n v="27"/>
    <n v="0.20769230769230701"/>
    <x v="16"/>
    <s v="Acute"/>
  </r>
  <r>
    <s v="RYJ"/>
    <s v="IMPERIAL COLLEGE HEALTHCARE NHS TRUST"/>
    <s v="NWL"/>
    <x v="13"/>
    <n v="1150"/>
    <n v="422"/>
    <n v="0.36695652173913001"/>
    <x v="16"/>
    <s v="Acute"/>
  </r>
  <r>
    <s v="RYJ"/>
    <s v="IMPERIAL COLLEGE HEALTHCARE NHS TRUST"/>
    <s v="NWL"/>
    <x v="1"/>
    <n v="714"/>
    <n v="250"/>
    <n v="0.350140056022408"/>
    <x v="16"/>
    <s v="Acute"/>
  </r>
  <r>
    <s v="RYJ"/>
    <s v="IMPERIAL COLLEGE HEALTHCARE NHS TRUST"/>
    <s v="NWL"/>
    <x v="11"/>
    <n v="171"/>
    <n v="72"/>
    <n v="0.42105263157894701"/>
    <x v="16"/>
    <s v="Acute"/>
  </r>
  <r>
    <s v="RYJ"/>
    <s v="IMPERIAL COLLEGE HEALTHCARE NHS TRUST"/>
    <s v="NWL"/>
    <x v="14"/>
    <n v="52"/>
    <n v="15"/>
    <n v="0.28846153846153799"/>
    <x v="16"/>
    <s v="Acute"/>
  </r>
  <r>
    <s v="RYJ"/>
    <s v="IMPERIAL COLLEGE HEALTHCARE NHS TRUST"/>
    <s v="NWL"/>
    <x v="1"/>
    <n v="18"/>
    <n v="4"/>
    <n v="0.22222222222222199"/>
    <x v="16"/>
    <s v="Acute"/>
  </r>
  <r>
    <s v="RYJ"/>
    <s v="IMPERIAL COLLEGE HEALTHCARE NHS TRUST"/>
    <s v="NWL"/>
    <x v="15"/>
    <n v="158"/>
    <n v="78"/>
    <n v="0.493670886075949"/>
    <x v="16"/>
    <s v="Acute"/>
  </r>
  <r>
    <s v="RYJ"/>
    <s v="IMPERIAL COLLEGE HEALTHCARE NHS TRUST"/>
    <s v="NWL"/>
    <x v="3"/>
    <n v="1307"/>
    <n v="497"/>
    <n v="0.38026013771996903"/>
    <x v="16"/>
    <s v="Acute"/>
  </r>
  <r>
    <s v="RRU"/>
    <s v="LONDON AMBULANCE SERVICE NHS TRUST"/>
    <s v="NWL"/>
    <x v="7"/>
    <n v="29"/>
    <n v="5"/>
    <n v="0.17241379310344801"/>
    <x v="17"/>
    <s v="Ambulance"/>
  </r>
  <r>
    <s v="RRU"/>
    <s v="LONDON AMBULANCE SERVICE NHS TRUST"/>
    <s v="NWL"/>
    <x v="10"/>
    <n v="87"/>
    <n v="23"/>
    <n v="0.26436781609195398"/>
    <x v="17"/>
    <s v="Ambulance"/>
  </r>
  <r>
    <s v="RRU"/>
    <s v="LONDON AMBULANCE SERVICE NHS TRUST"/>
    <s v="NWL"/>
    <x v="1"/>
    <n v="252"/>
    <n v="132"/>
    <n v="0.52380952380952295"/>
    <x v="17"/>
    <s v="Ambulance"/>
  </r>
  <r>
    <s v="RRU"/>
    <s v="LONDON AMBULANCE SERVICE NHS TRUST"/>
    <s v="NWL"/>
    <x v="2"/>
    <n v="14"/>
    <n v="6"/>
    <n v="0.42857142857142799"/>
    <x v="17"/>
    <s v="Ambulance"/>
  </r>
  <r>
    <s v="RRU"/>
    <s v="LONDON AMBULANCE SERVICE NHS TRUST"/>
    <s v="NWL"/>
    <x v="11"/>
    <n v="9"/>
    <n v="5"/>
    <n v="0.55555555555555503"/>
    <x v="17"/>
    <s v="Ambulance"/>
  </r>
  <r>
    <s v="RRU"/>
    <s v="LONDON AMBULANCE SERVICE NHS TRUST"/>
    <s v="NWL"/>
    <x v="15"/>
    <n v="69"/>
    <n v="30"/>
    <n v="0.434782608695652"/>
    <x v="17"/>
    <s v="Ambulance"/>
  </r>
  <r>
    <s v="RRU"/>
    <s v="LONDON AMBULANCE SERVICE NHS TRUST"/>
    <s v="NWL"/>
    <x v="8"/>
    <n v="39"/>
    <n v="11"/>
    <n v="0.28205128205128199"/>
    <x v="17"/>
    <s v="Ambulance"/>
  </r>
  <r>
    <s v="RRU"/>
    <s v="LONDON AMBULANCE SERVICE NHS TRUST"/>
    <s v="NWL"/>
    <x v="4"/>
    <n v="51"/>
    <n v="13"/>
    <n v="0.25490196078431299"/>
    <x v="17"/>
    <s v="Ambulance"/>
  </r>
  <r>
    <s v="RRU"/>
    <s v="LONDON AMBULANCE SERVICE NHS TRUST"/>
    <s v="NWL"/>
    <x v="6"/>
    <n v="36"/>
    <n v="7"/>
    <n v="0.194444444444444"/>
    <x v="17"/>
    <s v="Ambulance"/>
  </r>
  <r>
    <s v="RRU"/>
    <s v="LONDON AMBULANCE SERVICE NHS TRUST"/>
    <s v="NWL"/>
    <x v="0"/>
    <n v="42"/>
    <n v="18"/>
    <n v="0.42857142857142799"/>
    <x v="17"/>
    <s v="Ambulance"/>
  </r>
  <r>
    <s v="RRU"/>
    <s v="LONDON AMBULANCE SERVICE NHS TRUST"/>
    <s v="NWL"/>
    <x v="13"/>
    <n v="41"/>
    <n v="20"/>
    <n v="0.48780487804877998"/>
    <x v="17"/>
    <s v="Ambulance"/>
  </r>
  <r>
    <s v="RRU"/>
    <s v="LONDON AMBULANCE SERVICE NHS TRUST"/>
    <s v="NWL"/>
    <x v="16"/>
    <n v="52"/>
    <n v="17"/>
    <n v="0.32692307692307598"/>
    <x v="17"/>
    <s v="Ambulance"/>
  </r>
  <r>
    <s v="RRU"/>
    <s v="LONDON AMBULANCE SERVICE NHS TRUST"/>
    <s v="NWL"/>
    <x v="12"/>
    <n v="98"/>
    <n v="44"/>
    <n v="0.44897959183673403"/>
    <x v="17"/>
    <s v="Ambulance"/>
  </r>
  <r>
    <s v="RRU"/>
    <s v="LONDON AMBULANCE SERVICE NHS TRUST"/>
    <s v="NWL"/>
    <x v="3"/>
    <n v="402"/>
    <n v="214"/>
    <n v="0.53233830845771102"/>
    <x v="17"/>
    <s v="Ambulance"/>
  </r>
  <r>
    <s v="RRU"/>
    <s v="LONDON AMBULANCE SERVICE NHS TRUST"/>
    <s v="NWL"/>
    <x v="5"/>
    <n v="2446"/>
    <n v="1291"/>
    <n v="0.52780049059689205"/>
    <x v="17"/>
    <s v="Ambulance"/>
  </r>
  <r>
    <s v="RRU"/>
    <s v="LONDON AMBULANCE SERVICE NHS TRUST"/>
    <s v="NWL"/>
    <x v="1"/>
    <n v="4"/>
    <n v="1"/>
    <n v="0.25"/>
    <x v="17"/>
    <s v="Ambulance"/>
  </r>
  <r>
    <s v="RRU"/>
    <s v="LONDON AMBULANCE SERVICE NHS TRUST"/>
    <s v="NWL"/>
    <x v="14"/>
    <n v="25"/>
    <n v="10"/>
    <n v="0.4"/>
    <x v="17"/>
    <s v="Ambulance"/>
  </r>
  <r>
    <s v="RRU"/>
    <s v="LONDON AMBULANCE SERVICE NHS TRUST"/>
    <s v="NWL"/>
    <x v="9"/>
    <n v="10"/>
    <n v="5"/>
    <n v="0.5"/>
    <x v="17"/>
    <s v="Ambulance"/>
  </r>
  <r>
    <s v="R1K"/>
    <s v="LONDON NORTH WEST UNIVERSITY HEALTHCARE NHS TRUST"/>
    <s v="NWL"/>
    <x v="14"/>
    <n v="14"/>
    <n v="2"/>
    <n v="0.14285714285714199"/>
    <x v="18"/>
    <s v="Acute"/>
  </r>
  <r>
    <s v="R1K"/>
    <s v="LONDON NORTH WEST UNIVERSITY HEALTHCARE NHS TRUST"/>
    <s v="NWL"/>
    <x v="1"/>
    <n v="7"/>
    <n v="2"/>
    <n v="0.28571428571428498"/>
    <x v="18"/>
    <s v="Acute"/>
  </r>
  <r>
    <s v="R1K"/>
    <s v="LONDON NORTH WEST UNIVERSITY HEALTHCARE NHS TRUST"/>
    <s v="NWL"/>
    <x v="11"/>
    <n v="57"/>
    <n v="33"/>
    <n v="0.57894736842105199"/>
    <x v="18"/>
    <s v="Acute"/>
  </r>
  <r>
    <s v="R1K"/>
    <s v="LONDON NORTH WEST UNIVERSITY HEALTHCARE NHS TRUST"/>
    <s v="NWL"/>
    <x v="15"/>
    <n v="66"/>
    <n v="35"/>
    <n v="0.53030303030303005"/>
    <x v="18"/>
    <s v="Acute"/>
  </r>
  <r>
    <s v="R1K"/>
    <s v="LONDON NORTH WEST UNIVERSITY HEALTHCARE NHS TRUST"/>
    <s v="NWL"/>
    <x v="7"/>
    <n v="108"/>
    <n v="44"/>
    <n v="0.407407407407407"/>
    <x v="18"/>
    <s v="Acute"/>
  </r>
  <r>
    <s v="R1K"/>
    <s v="LONDON NORTH WEST UNIVERSITY HEALTHCARE NHS TRUST"/>
    <s v="NWL"/>
    <x v="10"/>
    <n v="446"/>
    <n v="129"/>
    <n v="0.28923766816143498"/>
    <x v="18"/>
    <s v="Acute"/>
  </r>
  <r>
    <s v="R1K"/>
    <s v="LONDON NORTH WEST UNIVERSITY HEALTHCARE NHS TRUST"/>
    <s v="NWL"/>
    <x v="16"/>
    <n v="759"/>
    <n v="352"/>
    <n v="0.46376811594202899"/>
    <x v="18"/>
    <s v="Acute"/>
  </r>
  <r>
    <s v="R1K"/>
    <s v="LONDON NORTH WEST UNIVERSITY HEALTHCARE NHS TRUST"/>
    <s v="NWL"/>
    <x v="1"/>
    <n v="268"/>
    <n v="115"/>
    <n v="0.42910447761193998"/>
    <x v="18"/>
    <s v="Acute"/>
  </r>
  <r>
    <s v="R1K"/>
    <s v="LONDON NORTH WEST UNIVERSITY HEALTHCARE NHS TRUST"/>
    <s v="NWL"/>
    <x v="0"/>
    <n v="54"/>
    <n v="18"/>
    <n v="0.33333333333333298"/>
    <x v="18"/>
    <s v="Acute"/>
  </r>
  <r>
    <s v="R1K"/>
    <s v="LONDON NORTH WEST UNIVERSITY HEALTHCARE NHS TRUST"/>
    <s v="NWL"/>
    <x v="12"/>
    <n v="405"/>
    <n v="176"/>
    <n v="0.43456790123456701"/>
    <x v="18"/>
    <s v="Acute"/>
  </r>
  <r>
    <s v="R1K"/>
    <s v="LONDON NORTH WEST UNIVERSITY HEALTHCARE NHS TRUST"/>
    <s v="NWL"/>
    <x v="8"/>
    <n v="26"/>
    <n v="9"/>
    <n v="0.34615384615384598"/>
    <x v="18"/>
    <s v="Acute"/>
  </r>
  <r>
    <s v="R1K"/>
    <s v="LONDON NORTH WEST UNIVERSITY HEALTHCARE NHS TRUST"/>
    <s v="NWL"/>
    <x v="6"/>
    <n v="117"/>
    <n v="22"/>
    <n v="0.188034188034188"/>
    <x v="18"/>
    <s v="Acute"/>
  </r>
  <r>
    <s v="R1K"/>
    <s v="LONDON NORTH WEST UNIVERSITY HEALTHCARE NHS TRUST"/>
    <s v="NWL"/>
    <x v="5"/>
    <n v="545"/>
    <n v="320"/>
    <n v="0.58715596330275199"/>
    <x v="18"/>
    <s v="Acute"/>
  </r>
  <r>
    <s v="R1K"/>
    <s v="LONDON NORTH WEST UNIVERSITY HEALTHCARE NHS TRUST"/>
    <s v="NWL"/>
    <x v="4"/>
    <n v="111"/>
    <n v="27"/>
    <n v="0.24324324324324301"/>
    <x v="18"/>
    <s v="Acute"/>
  </r>
  <r>
    <s v="R1K"/>
    <s v="LONDON NORTH WEST UNIVERSITY HEALTHCARE NHS TRUST"/>
    <s v="NWL"/>
    <x v="2"/>
    <n v="39"/>
    <n v="14"/>
    <n v="0.35897435897435898"/>
    <x v="18"/>
    <s v="Acute"/>
  </r>
  <r>
    <s v="R1K"/>
    <s v="LONDON NORTH WEST UNIVERSITY HEALTHCARE NHS TRUST"/>
    <s v="NWL"/>
    <x v="9"/>
    <n v="24"/>
    <n v="9"/>
    <n v="0.375"/>
    <x v="18"/>
    <s v="Acute"/>
  </r>
  <r>
    <s v="R1K"/>
    <s v="LONDON NORTH WEST UNIVERSITY HEALTHCARE NHS TRUST"/>
    <s v="NWL"/>
    <x v="13"/>
    <n v="877"/>
    <n v="362"/>
    <n v="0.41277080957810702"/>
    <x v="18"/>
    <s v="Acute"/>
  </r>
  <r>
    <s v="R1K"/>
    <s v="LONDON NORTH WEST UNIVERSITY HEALTHCARE NHS TRUST"/>
    <s v="NWL"/>
    <x v="3"/>
    <n v="307"/>
    <n v="118"/>
    <n v="0.38436482084690499"/>
    <x v="18"/>
    <s v="Acute"/>
  </r>
  <r>
    <s v="RAS"/>
    <s v="THE HILLINGDON HOSPITALS NHS FOUNDATION TRUST"/>
    <s v="NWL"/>
    <x v="4"/>
    <n v="55"/>
    <n v="11"/>
    <n v="0.2"/>
    <x v="19"/>
    <s v="Acute"/>
  </r>
  <r>
    <s v="RAS"/>
    <s v="THE HILLINGDON HOSPITALS NHS FOUNDATION TRUST"/>
    <s v="NWL"/>
    <x v="13"/>
    <n v="553"/>
    <n v="176"/>
    <n v="0.31826401446654601"/>
    <x v="19"/>
    <s v="Acute"/>
  </r>
  <r>
    <s v="RAS"/>
    <s v="THE HILLINGDON HOSPITALS NHS FOUNDATION TRUST"/>
    <s v="NWL"/>
    <x v="11"/>
    <n v="29"/>
    <n v="17"/>
    <n v="0.58620689655172398"/>
    <x v="19"/>
    <s v="Acute"/>
  </r>
  <r>
    <s v="RAS"/>
    <s v="THE HILLINGDON HOSPITALS NHS FOUNDATION TRUST"/>
    <s v="NWL"/>
    <x v="10"/>
    <n v="288"/>
    <n v="69"/>
    <n v="0.23958333333333301"/>
    <x v="19"/>
    <s v="Acute"/>
  </r>
  <r>
    <s v="RAS"/>
    <s v="THE HILLINGDON HOSPITALS NHS FOUNDATION TRUST"/>
    <s v="NWL"/>
    <x v="16"/>
    <n v="450"/>
    <n v="153"/>
    <n v="0.34"/>
    <x v="19"/>
    <s v="Acute"/>
  </r>
  <r>
    <s v="RAS"/>
    <s v="THE HILLINGDON HOSPITALS NHS FOUNDATION TRUST"/>
    <s v="NWL"/>
    <x v="3"/>
    <n v="206"/>
    <n v="70"/>
    <n v="0.33980582524271802"/>
    <x v="19"/>
    <s v="Acute"/>
  </r>
  <r>
    <s v="RAS"/>
    <s v="THE HILLINGDON HOSPITALS NHS FOUNDATION TRUST"/>
    <s v="NWL"/>
    <x v="2"/>
    <n v="30"/>
    <n v="4"/>
    <n v="0.133333333333333"/>
    <x v="19"/>
    <s v="Acute"/>
  </r>
  <r>
    <s v="RAS"/>
    <s v="THE HILLINGDON HOSPITALS NHS FOUNDATION TRUST"/>
    <s v="NWL"/>
    <x v="5"/>
    <n v="697"/>
    <n v="332"/>
    <n v="0.47632711621233798"/>
    <x v="19"/>
    <s v="Acute"/>
  </r>
  <r>
    <s v="RAS"/>
    <s v="THE HILLINGDON HOSPITALS NHS FOUNDATION TRUST"/>
    <s v="NWL"/>
    <x v="12"/>
    <n v="244"/>
    <n v="70"/>
    <n v="0.286885245901639"/>
    <x v="19"/>
    <s v="Acute"/>
  </r>
  <r>
    <s v="RAS"/>
    <s v="THE HILLINGDON HOSPITALS NHS FOUNDATION TRUST"/>
    <s v="NWL"/>
    <x v="0"/>
    <n v="39"/>
    <n v="17"/>
    <n v="0.43589743589743501"/>
    <x v="19"/>
    <s v="Acute"/>
  </r>
  <r>
    <s v="RAS"/>
    <s v="THE HILLINGDON HOSPITALS NHS FOUNDATION TRUST"/>
    <s v="NWL"/>
    <x v="15"/>
    <n v="38"/>
    <n v="20"/>
    <n v="0.52631578947368396"/>
    <x v="19"/>
    <s v="Acute"/>
  </r>
  <r>
    <s v="RAS"/>
    <s v="THE HILLINGDON HOSPITALS NHS FOUNDATION TRUST"/>
    <s v="NWL"/>
    <x v="14"/>
    <n v="15"/>
    <n v="4"/>
    <n v="0.266666666666666"/>
    <x v="19"/>
    <s v="Acute"/>
  </r>
  <r>
    <s v="RAS"/>
    <s v="THE HILLINGDON HOSPITALS NHS FOUNDATION TRUST"/>
    <s v="NWL"/>
    <x v="7"/>
    <n v="97"/>
    <n v="25"/>
    <n v="0.25773195876288602"/>
    <x v="19"/>
    <s v="Acute"/>
  </r>
  <r>
    <s v="RAS"/>
    <s v="THE HILLINGDON HOSPITALS NHS FOUNDATION TRUST"/>
    <s v="NWL"/>
    <x v="9"/>
    <n v="14"/>
    <n v="8"/>
    <n v="0.57142857142857095"/>
    <x v="19"/>
    <s v="Acute"/>
  </r>
  <r>
    <s v="RAS"/>
    <s v="THE HILLINGDON HOSPITALS NHS FOUNDATION TRUST"/>
    <s v="NWL"/>
    <x v="1"/>
    <n v="176"/>
    <n v="42"/>
    <n v="0.23863636363636301"/>
    <x v="19"/>
    <s v="Acute"/>
  </r>
  <r>
    <s v="RAS"/>
    <s v="THE HILLINGDON HOSPITALS NHS FOUNDATION TRUST"/>
    <s v="NWL"/>
    <x v="8"/>
    <n v="31"/>
    <n v="11"/>
    <n v="0.35483870967741898"/>
    <x v="19"/>
    <s v="Acute"/>
  </r>
  <r>
    <s v="RAS"/>
    <s v="THE HILLINGDON HOSPITALS NHS FOUNDATION TRUST"/>
    <s v="NWL"/>
    <x v="6"/>
    <n v="90"/>
    <n v="20"/>
    <n v="0.22222222222222199"/>
    <x v="19"/>
    <s v="Acute"/>
  </r>
  <r>
    <s v="RAS"/>
    <s v="THE HILLINGDON HOSPITALS NHS FOUNDATION TRUST"/>
    <s v="NWL"/>
    <x v="1"/>
    <n v="1"/>
    <n v="0"/>
    <n v="0"/>
    <x v="19"/>
    <s v="Acute"/>
  </r>
  <r>
    <s v="RKL"/>
    <s v="WEST LONDON NHS TRUST"/>
    <s v="NWL"/>
    <x v="13"/>
    <n v="409"/>
    <n v="150"/>
    <n v="0.36674816625916801"/>
    <x v="20"/>
    <s v="Mental Health &amp; Community"/>
  </r>
  <r>
    <s v="RKL"/>
    <s v="WEST LONDON NHS TRUST"/>
    <s v="NWL"/>
    <x v="4"/>
    <n v="130"/>
    <n v="29"/>
    <n v="0.22307692307692301"/>
    <x v="20"/>
    <s v="Mental Health &amp; Community"/>
  </r>
  <r>
    <s v="RKL"/>
    <s v="WEST LONDON NHS TRUST"/>
    <s v="NWL"/>
    <x v="7"/>
    <n v="78"/>
    <n v="19"/>
    <n v="0.243589743589743"/>
    <x v="20"/>
    <s v="Mental Health &amp; Community"/>
  </r>
  <r>
    <s v="RKL"/>
    <s v="WEST LONDON NHS TRUST"/>
    <s v="NWL"/>
    <x v="12"/>
    <n v="250"/>
    <n v="84"/>
    <n v="0.33600000000000002"/>
    <x v="20"/>
    <s v="Mental Health &amp; Community"/>
  </r>
  <r>
    <s v="RKL"/>
    <s v="WEST LONDON NHS TRUST"/>
    <s v="NWL"/>
    <x v="15"/>
    <n v="47"/>
    <n v="17"/>
    <n v="0.36170212765957399"/>
    <x v="20"/>
    <s v="Mental Health &amp; Community"/>
  </r>
  <r>
    <s v="RKL"/>
    <s v="WEST LONDON NHS TRUST"/>
    <s v="NWL"/>
    <x v="0"/>
    <n v="58"/>
    <n v="21"/>
    <n v="0.36206896551724099"/>
    <x v="20"/>
    <s v="Mental Health &amp; Community"/>
  </r>
  <r>
    <s v="RKL"/>
    <s v="WEST LONDON NHS TRUST"/>
    <s v="NWL"/>
    <x v="11"/>
    <n v="47"/>
    <n v="15"/>
    <n v="0.31914893617021201"/>
    <x v="20"/>
    <s v="Mental Health &amp; Community"/>
  </r>
  <r>
    <s v="RKL"/>
    <s v="WEST LONDON NHS TRUST"/>
    <s v="NWL"/>
    <x v="10"/>
    <n v="785"/>
    <n v="219"/>
    <n v="0.27898089171974499"/>
    <x v="20"/>
    <s v="Mental Health &amp; Community"/>
  </r>
  <r>
    <s v="RKL"/>
    <s v="WEST LONDON NHS TRUST"/>
    <s v="NWL"/>
    <x v="14"/>
    <n v="42"/>
    <n v="13"/>
    <n v="0.30952380952380898"/>
    <x v="20"/>
    <s v="Mental Health &amp; Community"/>
  </r>
  <r>
    <s v="RKL"/>
    <s v="WEST LONDON NHS TRUST"/>
    <s v="NWL"/>
    <x v="16"/>
    <n v="355"/>
    <n v="128"/>
    <n v="0.36056338028168999"/>
    <x v="20"/>
    <s v="Mental Health &amp; Community"/>
  </r>
  <r>
    <s v="RKL"/>
    <s v="WEST LONDON NHS TRUST"/>
    <s v="NWL"/>
    <x v="9"/>
    <n v="29"/>
    <n v="13"/>
    <n v="0.44827586206896503"/>
    <x v="20"/>
    <s v="Mental Health &amp; Community"/>
  </r>
  <r>
    <s v="RKL"/>
    <s v="WEST LONDON NHS TRUST"/>
    <s v="NWL"/>
    <x v="2"/>
    <n v="77"/>
    <n v="21"/>
    <n v="0.27272727272727199"/>
    <x v="20"/>
    <s v="Mental Health &amp; Community"/>
  </r>
  <r>
    <s v="RKL"/>
    <s v="WEST LONDON NHS TRUST"/>
    <s v="NWL"/>
    <x v="6"/>
    <n v="199"/>
    <n v="43"/>
    <n v="0.21608040201004999"/>
    <x v="20"/>
    <s v="Mental Health &amp; Community"/>
  </r>
  <r>
    <s v="RKL"/>
    <s v="WEST LONDON NHS TRUST"/>
    <s v="NWL"/>
    <x v="8"/>
    <n v="62"/>
    <n v="24"/>
    <n v="0.38709677419354799"/>
    <x v="20"/>
    <s v="Mental Health &amp; Community"/>
  </r>
  <r>
    <s v="RKL"/>
    <s v="WEST LONDON NHS TRUST"/>
    <s v="NWL"/>
    <x v="3"/>
    <n v="388"/>
    <n v="141"/>
    <n v="0.36340206185566998"/>
    <x v="20"/>
    <s v="Mental Health &amp; Community"/>
  </r>
  <r>
    <s v="RKL"/>
    <s v="WEST LONDON NHS TRUST"/>
    <s v="NWL"/>
    <x v="1"/>
    <n v="8"/>
    <n v="0"/>
    <n v="0"/>
    <x v="20"/>
    <s v="Mental Health &amp; Community"/>
  </r>
  <r>
    <s v="RKL"/>
    <s v="WEST LONDON NHS TRUST"/>
    <s v="NWL"/>
    <x v="1"/>
    <n v="256"/>
    <n v="73"/>
    <n v="0.28515625"/>
    <x v="20"/>
    <s v="Mental Health &amp; Community"/>
  </r>
  <r>
    <s v="RKL"/>
    <s v="WEST LONDON NHS TRUST"/>
    <s v="NWL"/>
    <x v="5"/>
    <n v="1038"/>
    <n v="465"/>
    <n v="0.44797687861271601"/>
    <x v="20"/>
    <s v="Mental Health &amp; Community"/>
  </r>
  <r>
    <s v="RJ1"/>
    <s v="GUY'S AND ST THOMAS' NHS FOUNDATION TRUST"/>
    <s v="SEL"/>
    <x v="15"/>
    <n v="299"/>
    <n v="175"/>
    <n v="0.58528428093645402"/>
    <x v="21"/>
    <s v="Acute"/>
  </r>
  <r>
    <s v="RJ1"/>
    <s v="GUY'S AND ST THOMAS' NHS FOUNDATION TRUST"/>
    <s v="SEL"/>
    <x v="10"/>
    <n v="2460"/>
    <n v="621"/>
    <n v="0.25243902439024302"/>
    <x v="21"/>
    <s v="Acute"/>
  </r>
  <r>
    <s v="RJ1"/>
    <s v="GUY'S AND ST THOMAS' NHS FOUNDATION TRUST"/>
    <s v="SEL"/>
    <x v="1"/>
    <n v="956"/>
    <n v="353"/>
    <n v="0.36924686192468598"/>
    <x v="21"/>
    <s v="Acute"/>
  </r>
  <r>
    <s v="RJ1"/>
    <s v="GUY'S AND ST THOMAS' NHS FOUNDATION TRUST"/>
    <s v="SEL"/>
    <x v="0"/>
    <n v="241"/>
    <n v="119"/>
    <n v="0.49377593360995797"/>
    <x v="21"/>
    <s v="Acute"/>
  </r>
  <r>
    <s v="RJ1"/>
    <s v="GUY'S AND ST THOMAS' NHS FOUNDATION TRUST"/>
    <s v="SEL"/>
    <x v="12"/>
    <n v="1153"/>
    <n v="469"/>
    <n v="0.40676496097137899"/>
    <x v="21"/>
    <s v="Acute"/>
  </r>
  <r>
    <s v="RJ1"/>
    <s v="GUY'S AND ST THOMAS' NHS FOUNDATION TRUST"/>
    <s v="SEL"/>
    <x v="7"/>
    <n v="278"/>
    <n v="88"/>
    <n v="0.31654676258992798"/>
    <x v="21"/>
    <s v="Acute"/>
  </r>
  <r>
    <s v="RJ1"/>
    <s v="GUY'S AND ST THOMAS' NHS FOUNDATION TRUST"/>
    <s v="SEL"/>
    <x v="14"/>
    <n v="104"/>
    <n v="29"/>
    <n v="0.27884615384615302"/>
    <x v="21"/>
    <s v="Acute"/>
  </r>
  <r>
    <s v="RJ1"/>
    <s v="GUY'S AND ST THOMAS' NHS FOUNDATION TRUST"/>
    <s v="SEL"/>
    <x v="1"/>
    <n v="29"/>
    <n v="6"/>
    <n v="0.20689655172413701"/>
    <x v="21"/>
    <s v="Acute"/>
  </r>
  <r>
    <s v="RJ1"/>
    <s v="GUY'S AND ST THOMAS' NHS FOUNDATION TRUST"/>
    <s v="SEL"/>
    <x v="16"/>
    <n v="1493"/>
    <n v="654"/>
    <n v="0.43804420629604801"/>
    <x v="21"/>
    <s v="Acute"/>
  </r>
  <r>
    <s v="RJ1"/>
    <s v="GUY'S AND ST THOMAS' NHS FOUNDATION TRUST"/>
    <s v="SEL"/>
    <x v="9"/>
    <n v="117"/>
    <n v="66"/>
    <n v="0.56410256410256399"/>
    <x v="21"/>
    <s v="Acute"/>
  </r>
  <r>
    <s v="RJ1"/>
    <s v="GUY'S AND ST THOMAS' NHS FOUNDATION TRUST"/>
    <s v="SEL"/>
    <x v="2"/>
    <n v="179"/>
    <n v="50"/>
    <n v="0.27932960893854702"/>
    <x v="21"/>
    <s v="Acute"/>
  </r>
  <r>
    <s v="RJ1"/>
    <s v="GUY'S AND ST THOMAS' NHS FOUNDATION TRUST"/>
    <s v="SEL"/>
    <x v="8"/>
    <n v="243"/>
    <n v="66"/>
    <n v="0.27160493827160398"/>
    <x v="21"/>
    <s v="Acute"/>
  </r>
  <r>
    <s v="RJ1"/>
    <s v="GUY'S AND ST THOMAS' NHS FOUNDATION TRUST"/>
    <s v="SEL"/>
    <x v="3"/>
    <n v="2001"/>
    <n v="903"/>
    <n v="0.45127436281859001"/>
    <x v="21"/>
    <s v="Acute"/>
  </r>
  <r>
    <s v="RJ1"/>
    <s v="GUY'S AND ST THOMAS' NHS FOUNDATION TRUST"/>
    <s v="SEL"/>
    <x v="6"/>
    <n v="628"/>
    <n v="140"/>
    <n v="0.22292993630573199"/>
    <x v="21"/>
    <s v="Acute"/>
  </r>
  <r>
    <s v="RJ1"/>
    <s v="GUY'S AND ST THOMAS' NHS FOUNDATION TRUST"/>
    <s v="SEL"/>
    <x v="11"/>
    <n v="309"/>
    <n v="177"/>
    <n v="0.57281553398058205"/>
    <x v="21"/>
    <s v="Acute"/>
  </r>
  <r>
    <s v="RJ1"/>
    <s v="GUY'S AND ST THOMAS' NHS FOUNDATION TRUST"/>
    <s v="SEL"/>
    <x v="4"/>
    <n v="560"/>
    <n v="115"/>
    <n v="0.20535714285714199"/>
    <x v="21"/>
    <s v="Acute"/>
  </r>
  <r>
    <s v="RJ1"/>
    <s v="GUY'S AND ST THOMAS' NHS FOUNDATION TRUST"/>
    <s v="SEL"/>
    <x v="5"/>
    <n v="4952"/>
    <n v="2982"/>
    <n v="0.60218093699515296"/>
    <x v="21"/>
    <s v="Acute"/>
  </r>
  <r>
    <s v="RJ1"/>
    <s v="GUY'S AND ST THOMAS' NHS FOUNDATION TRUST"/>
    <s v="SEL"/>
    <x v="13"/>
    <n v="1098"/>
    <n v="474"/>
    <n v="0.43169398907103801"/>
    <x v="21"/>
    <s v="Acute"/>
  </r>
  <r>
    <s v="RJZ"/>
    <s v="KING'S COLLEGE HOSPITAL NHS FOUNDATION TRUST"/>
    <s v="SEL"/>
    <x v="15"/>
    <n v="153"/>
    <n v="86"/>
    <n v="0.56209150326797297"/>
    <x v="22"/>
    <s v="Acute"/>
  </r>
  <r>
    <s v="RJZ"/>
    <s v="KING'S COLLEGE HOSPITAL NHS FOUNDATION TRUST"/>
    <s v="SEL"/>
    <x v="2"/>
    <n v="126"/>
    <n v="52"/>
    <n v="0.41269841269841201"/>
    <x v="22"/>
    <s v="Acute"/>
  </r>
  <r>
    <s v="RJZ"/>
    <s v="KING'S COLLEGE HOSPITAL NHS FOUNDATION TRUST"/>
    <s v="SEL"/>
    <x v="9"/>
    <n v="77"/>
    <n v="35"/>
    <n v="0.45454545454545398"/>
    <x v="22"/>
    <s v="Acute"/>
  </r>
  <r>
    <s v="RJZ"/>
    <s v="KING'S COLLEGE HOSPITAL NHS FOUNDATION TRUST"/>
    <s v="SEL"/>
    <x v="8"/>
    <n v="86"/>
    <n v="34"/>
    <n v="0.39534883720930197"/>
    <x v="22"/>
    <s v="Acute"/>
  </r>
  <r>
    <s v="RJZ"/>
    <s v="KING'S COLLEGE HOSPITAL NHS FOUNDATION TRUST"/>
    <s v="SEL"/>
    <x v="14"/>
    <n v="81"/>
    <n v="20"/>
    <n v="0.24691358024691301"/>
    <x v="22"/>
    <s v="Acute"/>
  </r>
  <r>
    <s v="RJZ"/>
    <s v="KING'S COLLEGE HOSPITAL NHS FOUNDATION TRUST"/>
    <s v="SEL"/>
    <x v="3"/>
    <n v="799"/>
    <n v="379"/>
    <n v="0.474342928660826"/>
    <x v="22"/>
    <s v="Acute"/>
  </r>
  <r>
    <s v="RJZ"/>
    <s v="KING'S COLLEGE HOSPITAL NHS FOUNDATION TRUST"/>
    <s v="SEL"/>
    <x v="4"/>
    <n v="330"/>
    <n v="74"/>
    <n v="0.22424242424242399"/>
    <x v="22"/>
    <s v="Acute"/>
  </r>
  <r>
    <s v="RJZ"/>
    <s v="KING'S COLLEGE HOSPITAL NHS FOUNDATION TRUST"/>
    <s v="SEL"/>
    <x v="0"/>
    <n v="167"/>
    <n v="83"/>
    <n v="0.49700598802395202"/>
    <x v="22"/>
    <s v="Acute"/>
  </r>
  <r>
    <s v="RJZ"/>
    <s v="KING'S COLLEGE HOSPITAL NHS FOUNDATION TRUST"/>
    <s v="SEL"/>
    <x v="1"/>
    <n v="32"/>
    <n v="9"/>
    <n v="0.28125"/>
    <x v="22"/>
    <s v="Acute"/>
  </r>
  <r>
    <s v="RJZ"/>
    <s v="KING'S COLLEGE HOSPITAL NHS FOUNDATION TRUST"/>
    <s v="SEL"/>
    <x v="5"/>
    <n v="2420"/>
    <n v="1453"/>
    <n v="0.60041322314049494"/>
    <x v="22"/>
    <s v="Acute"/>
  </r>
  <r>
    <s v="RJZ"/>
    <s v="KING'S COLLEGE HOSPITAL NHS FOUNDATION TRUST"/>
    <s v="SEL"/>
    <x v="13"/>
    <n v="769"/>
    <n v="353"/>
    <n v="0.45903771131339399"/>
    <x v="22"/>
    <s v="Acute"/>
  </r>
  <r>
    <s v="RJZ"/>
    <s v="KING'S COLLEGE HOSPITAL NHS FOUNDATION TRUST"/>
    <s v="SEL"/>
    <x v="1"/>
    <n v="621"/>
    <n v="290"/>
    <n v="0.46698872785829298"/>
    <x v="22"/>
    <s v="Acute"/>
  </r>
  <r>
    <s v="RJZ"/>
    <s v="KING'S COLLEGE HOSPITAL NHS FOUNDATION TRUST"/>
    <s v="SEL"/>
    <x v="7"/>
    <n v="155"/>
    <n v="64"/>
    <n v="0.412903225806451"/>
    <x v="22"/>
    <s v="Acute"/>
  </r>
  <r>
    <s v="RJZ"/>
    <s v="KING'S COLLEGE HOSPITAL NHS FOUNDATION TRUST"/>
    <s v="SEL"/>
    <x v="11"/>
    <n v="125"/>
    <n v="78"/>
    <n v="0.624"/>
    <x v="22"/>
    <s v="Acute"/>
  </r>
  <r>
    <s v="RJZ"/>
    <s v="KING'S COLLEGE HOSPITAL NHS FOUNDATION TRUST"/>
    <s v="SEL"/>
    <x v="6"/>
    <n v="364"/>
    <n v="101"/>
    <n v="0.27747252747252699"/>
    <x v="22"/>
    <s v="Acute"/>
  </r>
  <r>
    <s v="RJZ"/>
    <s v="KING'S COLLEGE HOSPITAL NHS FOUNDATION TRUST"/>
    <s v="SEL"/>
    <x v="10"/>
    <n v="1462"/>
    <n v="430"/>
    <n v="0.29411764705882298"/>
    <x v="22"/>
    <s v="Acute"/>
  </r>
  <r>
    <s v="RJZ"/>
    <s v="KING'S COLLEGE HOSPITAL NHS FOUNDATION TRUST"/>
    <s v="SEL"/>
    <x v="16"/>
    <n v="1102"/>
    <n v="556"/>
    <n v="0.50453720508166899"/>
    <x v="22"/>
    <s v="Acute"/>
  </r>
  <r>
    <s v="RJZ"/>
    <s v="KING'S COLLEGE HOSPITAL NHS FOUNDATION TRUST"/>
    <s v="SEL"/>
    <x v="12"/>
    <n v="668"/>
    <n v="323"/>
    <n v="0.48353293413173598"/>
    <x v="22"/>
    <s v="Acute"/>
  </r>
  <r>
    <s v="RJ2"/>
    <s v="LEWISHAM AND GREENWICH NHS TRUST"/>
    <s v="SEL"/>
    <x v="16"/>
    <n v="614"/>
    <n v="249"/>
    <n v="0.40553745928338703"/>
    <x v="23"/>
    <s v="Acute"/>
  </r>
  <r>
    <s v="RJ2"/>
    <s v="LEWISHAM AND GREENWICH NHS TRUST"/>
    <s v="SEL"/>
    <x v="1"/>
    <n v="9"/>
    <n v="1"/>
    <n v="0.11111111111111099"/>
    <x v="23"/>
    <s v="Acute"/>
  </r>
  <r>
    <s v="RJ2"/>
    <s v="LEWISHAM AND GREENWICH NHS TRUST"/>
    <s v="SEL"/>
    <x v="8"/>
    <n v="67"/>
    <n v="20"/>
    <n v="0.29850746268656703"/>
    <x v="23"/>
    <s v="Acute"/>
  </r>
  <r>
    <s v="RJ2"/>
    <s v="LEWISHAM AND GREENWICH NHS TRUST"/>
    <s v="SEL"/>
    <x v="9"/>
    <n v="31"/>
    <n v="14"/>
    <n v="0.45161290322580599"/>
    <x v="23"/>
    <s v="Acute"/>
  </r>
  <r>
    <s v="RJ2"/>
    <s v="LEWISHAM AND GREENWICH NHS TRUST"/>
    <s v="SEL"/>
    <x v="0"/>
    <n v="101"/>
    <n v="29"/>
    <n v="0.287128712871287"/>
    <x v="23"/>
    <s v="Acute"/>
  </r>
  <r>
    <s v="RJ2"/>
    <s v="LEWISHAM AND GREENWICH NHS TRUST"/>
    <s v="SEL"/>
    <x v="14"/>
    <n v="65"/>
    <n v="14"/>
    <n v="0.21538461538461501"/>
    <x v="23"/>
    <s v="Acute"/>
  </r>
  <r>
    <s v="RJ2"/>
    <s v="LEWISHAM AND GREENWICH NHS TRUST"/>
    <s v="SEL"/>
    <x v="3"/>
    <n v="459"/>
    <n v="197"/>
    <n v="0.42919389978213501"/>
    <x v="23"/>
    <s v="Acute"/>
  </r>
  <r>
    <s v="RJ2"/>
    <s v="LEWISHAM AND GREENWICH NHS TRUST"/>
    <s v="SEL"/>
    <x v="15"/>
    <n v="61"/>
    <n v="36"/>
    <n v="0.59016393442622905"/>
    <x v="23"/>
    <s v="Acute"/>
  </r>
  <r>
    <s v="RJ2"/>
    <s v="LEWISHAM AND GREENWICH NHS TRUST"/>
    <s v="SEL"/>
    <x v="11"/>
    <n v="72"/>
    <n v="44"/>
    <n v="0.61111111111111105"/>
    <x v="23"/>
    <s v="Acute"/>
  </r>
  <r>
    <s v="RJ2"/>
    <s v="LEWISHAM AND GREENWICH NHS TRUST"/>
    <s v="SEL"/>
    <x v="6"/>
    <n v="378"/>
    <n v="100"/>
    <n v="0.26455026455026398"/>
    <x v="23"/>
    <s v="Acute"/>
  </r>
  <r>
    <s v="RJ2"/>
    <s v="LEWISHAM AND GREENWICH NHS TRUST"/>
    <s v="SEL"/>
    <x v="7"/>
    <n v="95"/>
    <n v="28"/>
    <n v="0.29473684210526302"/>
    <x v="23"/>
    <s v="Acute"/>
  </r>
  <r>
    <s v="RJ2"/>
    <s v="LEWISHAM AND GREENWICH NHS TRUST"/>
    <s v="SEL"/>
    <x v="2"/>
    <n v="94"/>
    <n v="37"/>
    <n v="0.39361702127659498"/>
    <x v="23"/>
    <s v="Acute"/>
  </r>
  <r>
    <s v="RJ2"/>
    <s v="LEWISHAM AND GREENWICH NHS TRUST"/>
    <s v="SEL"/>
    <x v="1"/>
    <n v="412"/>
    <n v="124"/>
    <n v="0.30097087378640702"/>
    <x v="23"/>
    <s v="Acute"/>
  </r>
  <r>
    <s v="RJ2"/>
    <s v="LEWISHAM AND GREENWICH NHS TRUST"/>
    <s v="SEL"/>
    <x v="5"/>
    <n v="1466"/>
    <n v="715"/>
    <n v="0.48772169167803497"/>
    <x v="23"/>
    <s v="Acute"/>
  </r>
  <r>
    <s v="RJ2"/>
    <s v="LEWISHAM AND GREENWICH NHS TRUST"/>
    <s v="SEL"/>
    <x v="4"/>
    <n v="343"/>
    <n v="56"/>
    <n v="0.163265306122448"/>
    <x v="23"/>
    <s v="Acute"/>
  </r>
  <r>
    <s v="RJ2"/>
    <s v="LEWISHAM AND GREENWICH NHS TRUST"/>
    <s v="SEL"/>
    <x v="12"/>
    <n v="363"/>
    <n v="136"/>
    <n v="0.37465564738292001"/>
    <x v="23"/>
    <s v="Acute"/>
  </r>
  <r>
    <s v="RJ2"/>
    <s v="LEWISHAM AND GREENWICH NHS TRUST"/>
    <s v="SEL"/>
    <x v="13"/>
    <n v="465"/>
    <n v="185"/>
    <n v="0.39784946236559099"/>
    <x v="23"/>
    <s v="Acute"/>
  </r>
  <r>
    <s v="RJ2"/>
    <s v="LEWISHAM AND GREENWICH NHS TRUST"/>
    <s v="SEL"/>
    <x v="10"/>
    <n v="1544"/>
    <n v="381"/>
    <n v="0.24676165803108799"/>
    <x v="23"/>
    <s v="Acute"/>
  </r>
  <r>
    <s v="RPG"/>
    <s v="OXLEAS NHS FOUNDATION TRUST"/>
    <s v="SEL"/>
    <x v="1"/>
    <n v="7"/>
    <n v="0"/>
    <n v="0"/>
    <x v="24"/>
    <s v="Mental Health &amp; Community"/>
  </r>
  <r>
    <s v="RPG"/>
    <s v="OXLEAS NHS FOUNDATION TRUST"/>
    <s v="SEL"/>
    <x v="11"/>
    <n v="20"/>
    <n v="12"/>
    <n v="0.6"/>
    <x v="24"/>
    <s v="Mental Health &amp; Community"/>
  </r>
  <r>
    <s v="RPG"/>
    <s v="OXLEAS NHS FOUNDATION TRUST"/>
    <s v="SEL"/>
    <x v="15"/>
    <n v="28"/>
    <n v="10"/>
    <n v="0.35714285714285698"/>
    <x v="24"/>
    <s v="Mental Health &amp; Community"/>
  </r>
  <r>
    <s v="RPG"/>
    <s v="OXLEAS NHS FOUNDATION TRUST"/>
    <s v="SEL"/>
    <x v="0"/>
    <n v="28"/>
    <n v="13"/>
    <n v="0.46428571428571402"/>
    <x v="24"/>
    <s v="Mental Health &amp; Community"/>
  </r>
  <r>
    <s v="RPG"/>
    <s v="OXLEAS NHS FOUNDATION TRUST"/>
    <s v="SEL"/>
    <x v="7"/>
    <n v="30"/>
    <n v="5"/>
    <n v="0.16666666666666599"/>
    <x v="24"/>
    <s v="Mental Health &amp; Community"/>
  </r>
  <r>
    <s v="RPG"/>
    <s v="OXLEAS NHS FOUNDATION TRUST"/>
    <s v="SEL"/>
    <x v="12"/>
    <n v="70"/>
    <n v="20"/>
    <n v="0.28571428571428498"/>
    <x v="24"/>
    <s v="Mental Health &amp; Community"/>
  </r>
  <r>
    <s v="RPG"/>
    <s v="OXLEAS NHS FOUNDATION TRUST"/>
    <s v="SEL"/>
    <x v="4"/>
    <n v="84"/>
    <n v="25"/>
    <n v="0.29761904761904701"/>
    <x v="24"/>
    <s v="Mental Health &amp; Community"/>
  </r>
  <r>
    <s v="RPG"/>
    <s v="OXLEAS NHS FOUNDATION TRUST"/>
    <s v="SEL"/>
    <x v="1"/>
    <n v="143"/>
    <n v="49"/>
    <n v="0.34265734265734199"/>
    <x v="24"/>
    <s v="Mental Health &amp; Community"/>
  </r>
  <r>
    <s v="RPG"/>
    <s v="OXLEAS NHS FOUNDATION TRUST"/>
    <s v="SEL"/>
    <x v="10"/>
    <n v="873"/>
    <n v="259"/>
    <n v="0.29667812142038902"/>
    <x v="24"/>
    <s v="Mental Health &amp; Community"/>
  </r>
  <r>
    <s v="RPG"/>
    <s v="OXLEAS NHS FOUNDATION TRUST"/>
    <s v="SEL"/>
    <x v="16"/>
    <n v="86"/>
    <n v="34"/>
    <n v="0.39534883720930197"/>
    <x v="24"/>
    <s v="Mental Health &amp; Community"/>
  </r>
  <r>
    <s v="RPG"/>
    <s v="OXLEAS NHS FOUNDATION TRUST"/>
    <s v="SEL"/>
    <x v="8"/>
    <n v="9"/>
    <n v="2"/>
    <n v="0.22222222222222199"/>
    <x v="24"/>
    <s v="Mental Health &amp; Community"/>
  </r>
  <r>
    <s v="RPG"/>
    <s v="OXLEAS NHS FOUNDATION TRUST"/>
    <s v="SEL"/>
    <x v="5"/>
    <n v="1078"/>
    <n v="527"/>
    <n v="0.48886827458255999"/>
    <x v="24"/>
    <s v="Mental Health &amp; Community"/>
  </r>
  <r>
    <s v="RPG"/>
    <s v="OXLEAS NHS FOUNDATION TRUST"/>
    <s v="SEL"/>
    <x v="14"/>
    <n v="17"/>
    <n v="6"/>
    <n v="0.35294117647058798"/>
    <x v="24"/>
    <s v="Mental Health &amp; Community"/>
  </r>
  <r>
    <s v="RPG"/>
    <s v="OXLEAS NHS FOUNDATION TRUST"/>
    <s v="SEL"/>
    <x v="6"/>
    <n v="193"/>
    <n v="57"/>
    <n v="0.295336787564766"/>
    <x v="24"/>
    <s v="Mental Health &amp; Community"/>
  </r>
  <r>
    <s v="RPG"/>
    <s v="OXLEAS NHS FOUNDATION TRUST"/>
    <s v="SEL"/>
    <x v="9"/>
    <n v="12"/>
    <n v="5"/>
    <n v="0.41666666666666602"/>
    <x v="24"/>
    <s v="Mental Health &amp; Community"/>
  </r>
  <r>
    <s v="RPG"/>
    <s v="OXLEAS NHS FOUNDATION TRUST"/>
    <s v="SEL"/>
    <x v="2"/>
    <n v="77"/>
    <n v="25"/>
    <n v="0.32467532467532401"/>
    <x v="24"/>
    <s v="Mental Health &amp; Community"/>
  </r>
  <r>
    <s v="RPG"/>
    <s v="OXLEAS NHS FOUNDATION TRUST"/>
    <s v="SEL"/>
    <x v="13"/>
    <n v="118"/>
    <n v="45"/>
    <n v="0.38135593220338898"/>
    <x v="24"/>
    <s v="Mental Health &amp; Community"/>
  </r>
  <r>
    <s v="RPG"/>
    <s v="OXLEAS NHS FOUNDATION TRUST"/>
    <s v="SEL"/>
    <x v="3"/>
    <n v="186"/>
    <n v="72"/>
    <n v="0.38709677419354799"/>
    <x v="24"/>
    <s v="Mental Health &amp; Community"/>
  </r>
  <r>
    <s v="RV5"/>
    <s v="SOUTH LONDON AND MAUDSLEY NHS FOUNDATION TRUST"/>
    <s v="SEL"/>
    <x v="1"/>
    <n v="198"/>
    <n v="69"/>
    <n v="0.34848484848484801"/>
    <x v="25"/>
    <s v="Mental Health"/>
  </r>
  <r>
    <s v="RV5"/>
    <s v="SOUTH LONDON AND MAUDSLEY NHS FOUNDATION TRUST"/>
    <s v="SEL"/>
    <x v="11"/>
    <n v="42"/>
    <n v="24"/>
    <n v="0.57142857142857095"/>
    <x v="25"/>
    <s v="Mental Health"/>
  </r>
  <r>
    <s v="RV5"/>
    <s v="SOUTH LONDON AND MAUDSLEY NHS FOUNDATION TRUST"/>
    <s v="SEL"/>
    <x v="13"/>
    <n v="125"/>
    <n v="54"/>
    <n v="0.432"/>
    <x v="25"/>
    <s v="Mental Health"/>
  </r>
  <r>
    <s v="RV5"/>
    <s v="SOUTH LONDON AND MAUDSLEY NHS FOUNDATION TRUST"/>
    <s v="SEL"/>
    <x v="3"/>
    <n v="394"/>
    <n v="184"/>
    <n v="0.46700507614213199"/>
    <x v="25"/>
    <s v="Mental Health"/>
  </r>
  <r>
    <s v="RV5"/>
    <s v="SOUTH LONDON AND MAUDSLEY NHS FOUNDATION TRUST"/>
    <s v="SEL"/>
    <x v="10"/>
    <n v="1035"/>
    <n v="269"/>
    <n v="0.25990338164251198"/>
    <x v="25"/>
    <s v="Mental Health"/>
  </r>
  <r>
    <s v="RV5"/>
    <s v="SOUTH LONDON AND MAUDSLEY NHS FOUNDATION TRUST"/>
    <s v="SEL"/>
    <x v="5"/>
    <n v="1313"/>
    <n v="687"/>
    <n v="0.52322924600152299"/>
    <x v="25"/>
    <s v="Mental Health"/>
  </r>
  <r>
    <s v="RV5"/>
    <s v="SOUTH LONDON AND MAUDSLEY NHS FOUNDATION TRUST"/>
    <s v="SEL"/>
    <x v="6"/>
    <n v="239"/>
    <n v="65"/>
    <n v="0.27196652719665199"/>
    <x v="25"/>
    <s v="Mental Health"/>
  </r>
  <r>
    <s v="RV5"/>
    <s v="SOUTH LONDON AND MAUDSLEY NHS FOUNDATION TRUST"/>
    <s v="SEL"/>
    <x v="15"/>
    <n v="74"/>
    <n v="44"/>
    <n v="0.59459459459459396"/>
    <x v="25"/>
    <s v="Mental Health"/>
  </r>
  <r>
    <s v="RV5"/>
    <s v="SOUTH LONDON AND MAUDSLEY NHS FOUNDATION TRUST"/>
    <s v="SEL"/>
    <x v="9"/>
    <n v="19"/>
    <n v="7"/>
    <n v="0.36842105263157798"/>
    <x v="25"/>
    <s v="Mental Health"/>
  </r>
  <r>
    <s v="RV5"/>
    <s v="SOUTH LONDON AND MAUDSLEY NHS FOUNDATION TRUST"/>
    <s v="SEL"/>
    <x v="4"/>
    <n v="158"/>
    <n v="25"/>
    <n v="0.158227848101265"/>
    <x v="25"/>
    <s v="Mental Health"/>
  </r>
  <r>
    <s v="RV5"/>
    <s v="SOUTH LONDON AND MAUDSLEY NHS FOUNDATION TRUST"/>
    <s v="SEL"/>
    <x v="12"/>
    <n v="147"/>
    <n v="52"/>
    <n v="0.35374149659863902"/>
    <x v="25"/>
    <s v="Mental Health"/>
  </r>
  <r>
    <s v="RV5"/>
    <s v="SOUTH LONDON AND MAUDSLEY NHS FOUNDATION TRUST"/>
    <s v="SEL"/>
    <x v="8"/>
    <n v="19"/>
    <n v="5"/>
    <n v="0.26315789473684198"/>
    <x v="25"/>
    <s v="Mental Health"/>
  </r>
  <r>
    <s v="RV5"/>
    <s v="SOUTH LONDON AND MAUDSLEY NHS FOUNDATION TRUST"/>
    <s v="SEL"/>
    <x v="16"/>
    <n v="120"/>
    <n v="49"/>
    <n v="0.40833333333333299"/>
    <x v="25"/>
    <s v="Mental Health"/>
  </r>
  <r>
    <s v="RV5"/>
    <s v="SOUTH LONDON AND MAUDSLEY NHS FOUNDATION TRUST"/>
    <s v="SEL"/>
    <x v="14"/>
    <n v="39"/>
    <n v="9"/>
    <n v="0.23076923076923"/>
    <x v="25"/>
    <s v="Mental Health"/>
  </r>
  <r>
    <s v="RV5"/>
    <s v="SOUTH LONDON AND MAUDSLEY NHS FOUNDATION TRUST"/>
    <s v="SEL"/>
    <x v="0"/>
    <n v="58"/>
    <n v="21"/>
    <n v="0.36206896551724099"/>
    <x v="25"/>
    <s v="Mental Health"/>
  </r>
  <r>
    <s v="RV5"/>
    <s v="SOUTH LONDON AND MAUDSLEY NHS FOUNDATION TRUST"/>
    <s v="SEL"/>
    <x v="7"/>
    <n v="35"/>
    <n v="9"/>
    <n v="0.25714285714285701"/>
    <x v="25"/>
    <s v="Mental Health"/>
  </r>
  <r>
    <s v="RV5"/>
    <s v="SOUTH LONDON AND MAUDSLEY NHS FOUNDATION TRUST"/>
    <s v="SEL"/>
    <x v="2"/>
    <n v="69"/>
    <n v="18"/>
    <n v="0.26086956521739102"/>
    <x v="25"/>
    <s v="Mental Health"/>
  </r>
  <r>
    <s v="RV5"/>
    <s v="SOUTH LONDON AND MAUDSLEY NHS FOUNDATION TRUST"/>
    <s v="SEL"/>
    <x v="1"/>
    <n v="4"/>
    <n v="1"/>
    <n v="0.25"/>
    <x v="25"/>
    <s v="Mental Health"/>
  </r>
  <r>
    <s v="RJ6"/>
    <s v="CROYDON HEALTH SERVICES NHS TRUST"/>
    <s v="SWL"/>
    <x v="11"/>
    <n v="35"/>
    <n v="21"/>
    <n v="0.6"/>
    <x v="26"/>
    <s v="Acute &amp; Community"/>
  </r>
  <r>
    <s v="RJ6"/>
    <s v="CROYDON HEALTH SERVICES NHS TRUST"/>
    <s v="SWL"/>
    <x v="13"/>
    <n v="516"/>
    <n v="236"/>
    <n v="0.45736434108527102"/>
    <x v="26"/>
    <s v="Acute &amp; Community"/>
  </r>
  <r>
    <s v="RJ6"/>
    <s v="CROYDON HEALTH SERVICES NHS TRUST"/>
    <s v="SWL"/>
    <x v="2"/>
    <n v="37"/>
    <n v="7"/>
    <n v="0.18918918918918901"/>
    <x v="26"/>
    <s v="Acute &amp; Community"/>
  </r>
  <r>
    <s v="RJ6"/>
    <s v="CROYDON HEALTH SERVICES NHS TRUST"/>
    <s v="SWL"/>
    <x v="3"/>
    <n v="229"/>
    <n v="100"/>
    <n v="0.43668122270742299"/>
    <x v="26"/>
    <s v="Acute &amp; Community"/>
  </r>
  <r>
    <s v="RJ6"/>
    <s v="CROYDON HEALTH SERVICES NHS TRUST"/>
    <s v="SWL"/>
    <x v="16"/>
    <n v="298"/>
    <n v="120"/>
    <n v="0.40268456375838901"/>
    <x v="26"/>
    <s v="Acute &amp; Community"/>
  </r>
  <r>
    <s v="RJ6"/>
    <s v="CROYDON HEALTH SERVICES NHS TRUST"/>
    <s v="SWL"/>
    <x v="14"/>
    <n v="28"/>
    <n v="4"/>
    <n v="0.14285714285714199"/>
    <x v="26"/>
    <s v="Acute &amp; Community"/>
  </r>
  <r>
    <s v="RJ6"/>
    <s v="CROYDON HEALTH SERVICES NHS TRUST"/>
    <s v="SWL"/>
    <x v="5"/>
    <n v="728"/>
    <n v="399"/>
    <n v="0.54807692307692302"/>
    <x v="26"/>
    <s v="Acute &amp; Community"/>
  </r>
  <r>
    <s v="RJ6"/>
    <s v="CROYDON HEALTH SERVICES NHS TRUST"/>
    <s v="SWL"/>
    <x v="15"/>
    <n v="31"/>
    <n v="21"/>
    <n v="0.67741935483870896"/>
    <x v="26"/>
    <s v="Acute &amp; Community"/>
  </r>
  <r>
    <s v="RJ6"/>
    <s v="CROYDON HEALTH SERVICES NHS TRUST"/>
    <s v="SWL"/>
    <x v="7"/>
    <n v="74"/>
    <n v="30"/>
    <n v="0.40540540540540498"/>
    <x v="26"/>
    <s v="Acute &amp; Community"/>
  </r>
  <r>
    <s v="RJ6"/>
    <s v="CROYDON HEALTH SERVICES NHS TRUST"/>
    <s v="SWL"/>
    <x v="9"/>
    <n v="24"/>
    <n v="10"/>
    <n v="0.41666666666666602"/>
    <x v="26"/>
    <s v="Acute &amp; Community"/>
  </r>
  <r>
    <s v="RJ6"/>
    <s v="CROYDON HEALTH SERVICES NHS TRUST"/>
    <s v="SWL"/>
    <x v="0"/>
    <n v="59"/>
    <n v="33"/>
    <n v="0.55932203389830504"/>
    <x v="26"/>
    <s v="Acute &amp; Community"/>
  </r>
  <r>
    <s v="RJ6"/>
    <s v="CROYDON HEALTH SERVICES NHS TRUST"/>
    <s v="SWL"/>
    <x v="8"/>
    <n v="22"/>
    <n v="8"/>
    <n v="0.36363636363636298"/>
    <x v="26"/>
    <s v="Acute &amp; Community"/>
  </r>
  <r>
    <s v="RJ6"/>
    <s v="CROYDON HEALTH SERVICES NHS TRUST"/>
    <s v="SWL"/>
    <x v="10"/>
    <n v="523"/>
    <n v="154"/>
    <n v="0.294455066921606"/>
    <x v="26"/>
    <s v="Acute &amp; Community"/>
  </r>
  <r>
    <s v="RJ6"/>
    <s v="CROYDON HEALTH SERVICES NHS TRUST"/>
    <s v="SWL"/>
    <x v="1"/>
    <n v="4"/>
    <n v="2"/>
    <n v="0.5"/>
    <x v="26"/>
    <s v="Acute &amp; Community"/>
  </r>
  <r>
    <s v="RJ6"/>
    <s v="CROYDON HEALTH SERVICES NHS TRUST"/>
    <s v="SWL"/>
    <x v="6"/>
    <n v="171"/>
    <n v="40"/>
    <n v="0.23391812865497"/>
    <x v="26"/>
    <s v="Acute &amp; Community"/>
  </r>
  <r>
    <s v="RJ6"/>
    <s v="CROYDON HEALTH SERVICES NHS TRUST"/>
    <s v="SWL"/>
    <x v="1"/>
    <n v="172"/>
    <n v="65"/>
    <n v="0.377906976744186"/>
    <x v="26"/>
    <s v="Acute &amp; Community"/>
  </r>
  <r>
    <s v="RJ6"/>
    <s v="CROYDON HEALTH SERVICES NHS TRUST"/>
    <s v="SWL"/>
    <x v="4"/>
    <n v="222"/>
    <n v="34"/>
    <n v="0.153153153153153"/>
    <x v="26"/>
    <s v="Acute &amp; Community"/>
  </r>
  <r>
    <s v="RJ6"/>
    <s v="CROYDON HEALTH SERVICES NHS TRUST"/>
    <s v="SWL"/>
    <x v="12"/>
    <n v="172"/>
    <n v="66"/>
    <n v="0.38372093023255799"/>
    <x v="26"/>
    <s v="Acute &amp; Community"/>
  </r>
  <r>
    <s v="RVR"/>
    <s v="EPSOM AND ST HELIER UNIVERSITY HOSPITALS NHS TRUST"/>
    <s v="SWL"/>
    <x v="4"/>
    <n v="116"/>
    <n v="26"/>
    <n v="0.22413793103448201"/>
    <x v="27"/>
    <s v="Acute"/>
  </r>
  <r>
    <s v="RVR"/>
    <s v="EPSOM AND ST HELIER UNIVERSITY HOSPITALS NHS TRUST"/>
    <s v="SWL"/>
    <x v="5"/>
    <n v="1993"/>
    <n v="1084"/>
    <n v="0.54390366281986902"/>
    <x v="27"/>
    <s v="Acute"/>
  </r>
  <r>
    <s v="RVR"/>
    <s v="EPSOM AND ST HELIER UNIVERSITY HOSPITALS NHS TRUST"/>
    <s v="SWL"/>
    <x v="9"/>
    <n v="39"/>
    <n v="24"/>
    <n v="0.61538461538461497"/>
    <x v="27"/>
    <s v="Acute"/>
  </r>
  <r>
    <s v="RVR"/>
    <s v="EPSOM AND ST HELIER UNIVERSITY HOSPITALS NHS TRUST"/>
    <s v="SWL"/>
    <x v="13"/>
    <n v="590"/>
    <n v="267"/>
    <n v="0.45254237288135502"/>
    <x v="27"/>
    <s v="Acute"/>
  </r>
  <r>
    <s v="RVR"/>
    <s v="EPSOM AND ST HELIER UNIVERSITY HOSPITALS NHS TRUST"/>
    <s v="SWL"/>
    <x v="1"/>
    <n v="4"/>
    <n v="1"/>
    <n v="0.25"/>
    <x v="27"/>
    <s v="Acute"/>
  </r>
  <r>
    <s v="RVR"/>
    <s v="EPSOM AND ST HELIER UNIVERSITY HOSPITALS NHS TRUST"/>
    <s v="SWL"/>
    <x v="2"/>
    <n v="63"/>
    <n v="16"/>
    <n v="0.25396825396825301"/>
    <x v="27"/>
    <s v="Acute"/>
  </r>
  <r>
    <s v="RVR"/>
    <s v="EPSOM AND ST HELIER UNIVERSITY HOSPITALS NHS TRUST"/>
    <s v="SWL"/>
    <x v="14"/>
    <n v="32"/>
    <n v="11"/>
    <n v="0.34375"/>
    <x v="27"/>
    <s v="Acute"/>
  </r>
  <r>
    <s v="RVR"/>
    <s v="EPSOM AND ST HELIER UNIVERSITY HOSPITALS NHS TRUST"/>
    <s v="SWL"/>
    <x v="11"/>
    <n v="78"/>
    <n v="30"/>
    <n v="0.38461538461538403"/>
    <x v="27"/>
    <s v="Acute"/>
  </r>
  <r>
    <s v="RVR"/>
    <s v="EPSOM AND ST HELIER UNIVERSITY HOSPITALS NHS TRUST"/>
    <s v="SWL"/>
    <x v="3"/>
    <n v="483"/>
    <n v="187"/>
    <n v="0.38716356107660399"/>
    <x v="27"/>
    <s v="Acute"/>
  </r>
  <r>
    <s v="RVR"/>
    <s v="EPSOM AND ST HELIER UNIVERSITY HOSPITALS NHS TRUST"/>
    <s v="SWL"/>
    <x v="0"/>
    <n v="81"/>
    <n v="26"/>
    <n v="0.32098765432098703"/>
    <x v="27"/>
    <s v="Acute"/>
  </r>
  <r>
    <s v="RVR"/>
    <s v="EPSOM AND ST HELIER UNIVERSITY HOSPITALS NHS TRUST"/>
    <s v="SWL"/>
    <x v="7"/>
    <n v="126"/>
    <n v="49"/>
    <n v="0.38888888888888801"/>
    <x v="27"/>
    <s v="Acute"/>
  </r>
  <r>
    <s v="RVR"/>
    <s v="EPSOM AND ST HELIER UNIVERSITY HOSPITALS NHS TRUST"/>
    <s v="SWL"/>
    <x v="10"/>
    <n v="745"/>
    <n v="220"/>
    <n v="0.29530201342281798"/>
    <x v="27"/>
    <s v="Acute"/>
  </r>
  <r>
    <s v="RVR"/>
    <s v="EPSOM AND ST HELIER UNIVERSITY HOSPITALS NHS TRUST"/>
    <s v="SWL"/>
    <x v="15"/>
    <n v="65"/>
    <n v="38"/>
    <n v="0.58461538461538398"/>
    <x v="27"/>
    <s v="Acute"/>
  </r>
  <r>
    <s v="RVR"/>
    <s v="EPSOM AND ST HELIER UNIVERSITY HOSPITALS NHS TRUST"/>
    <s v="SWL"/>
    <x v="1"/>
    <n v="292"/>
    <n v="127"/>
    <n v="0.43493150684931497"/>
    <x v="27"/>
    <s v="Acute"/>
  </r>
  <r>
    <s v="RVR"/>
    <s v="EPSOM AND ST HELIER UNIVERSITY HOSPITALS NHS TRUST"/>
    <s v="SWL"/>
    <x v="16"/>
    <n v="700"/>
    <n v="322"/>
    <n v="0.46"/>
    <x v="27"/>
    <s v="Acute"/>
  </r>
  <r>
    <s v="RVR"/>
    <s v="EPSOM AND ST HELIER UNIVERSITY HOSPITALS NHS TRUST"/>
    <s v="SWL"/>
    <x v="8"/>
    <n v="35"/>
    <n v="13"/>
    <n v="0.371428571428571"/>
    <x v="27"/>
    <s v="Acute"/>
  </r>
  <r>
    <s v="RVR"/>
    <s v="EPSOM AND ST HELIER UNIVERSITY HOSPITALS NHS TRUST"/>
    <s v="SWL"/>
    <x v="12"/>
    <n v="317"/>
    <n v="150"/>
    <n v="0.47318611987381698"/>
    <x v="27"/>
    <s v="Acute"/>
  </r>
  <r>
    <s v="RVR"/>
    <s v="EPSOM AND ST HELIER UNIVERSITY HOSPITALS NHS TRUST"/>
    <s v="SWL"/>
    <x v="6"/>
    <n v="175"/>
    <n v="58"/>
    <n v="0.33142857142857102"/>
    <x v="27"/>
    <s v="Acute"/>
  </r>
  <r>
    <s v="RAX"/>
    <s v="KINGSTON AND RICHMOND NHS FOUNDATION TRUST"/>
    <s v="SWL"/>
    <x v="2"/>
    <n v="31"/>
    <n v="13"/>
    <n v="0.41935483870967699"/>
    <x v="28"/>
    <s v="Acute &amp; Community"/>
  </r>
  <r>
    <s v="RAX"/>
    <s v="KINGSTON AND RICHMOND NHS FOUNDATION TRUST"/>
    <s v="SWL"/>
    <x v="12"/>
    <n v="318"/>
    <n v="139"/>
    <n v="0.437106918238993"/>
    <x v="28"/>
    <s v="Acute &amp; Community"/>
  </r>
  <r>
    <s v="RAX"/>
    <s v="KINGSTON AND RICHMOND NHS FOUNDATION TRUST"/>
    <s v="SWL"/>
    <x v="1"/>
    <n v="5"/>
    <n v="1"/>
    <n v="0.2"/>
    <x v="28"/>
    <s v="Acute &amp; Community"/>
  </r>
  <r>
    <s v="RAX"/>
    <s v="KINGSTON AND RICHMOND NHS FOUNDATION TRUST"/>
    <s v="SWL"/>
    <x v="8"/>
    <n v="21"/>
    <n v="12"/>
    <n v="0.57142857142857095"/>
    <x v="28"/>
    <s v="Acute &amp; Community"/>
  </r>
  <r>
    <s v="RAX"/>
    <s v="KINGSTON AND RICHMOND NHS FOUNDATION TRUST"/>
    <s v="SWL"/>
    <x v="16"/>
    <n v="462"/>
    <n v="220"/>
    <n v="0.476190476190476"/>
    <x v="28"/>
    <s v="Acute &amp; Community"/>
  </r>
  <r>
    <s v="RAX"/>
    <s v="KINGSTON AND RICHMOND NHS FOUNDATION TRUST"/>
    <s v="SWL"/>
    <x v="15"/>
    <n v="55"/>
    <n v="28"/>
    <n v="0.50909090909090904"/>
    <x v="28"/>
    <s v="Acute &amp; Community"/>
  </r>
  <r>
    <s v="RAX"/>
    <s v="KINGSTON AND RICHMOND NHS FOUNDATION TRUST"/>
    <s v="SWL"/>
    <x v="9"/>
    <n v="28"/>
    <n v="13"/>
    <n v="0.46428571428571402"/>
    <x v="28"/>
    <s v="Acute &amp; Community"/>
  </r>
  <r>
    <s v="RAX"/>
    <s v="KINGSTON AND RICHMOND NHS FOUNDATION TRUST"/>
    <s v="SWL"/>
    <x v="11"/>
    <n v="44"/>
    <n v="29"/>
    <n v="0.65909090909090895"/>
    <x v="28"/>
    <s v="Acute &amp; Community"/>
  </r>
  <r>
    <s v="RAX"/>
    <s v="KINGSTON AND RICHMOND NHS FOUNDATION TRUST"/>
    <s v="SWL"/>
    <x v="5"/>
    <n v="1364"/>
    <n v="772"/>
    <n v="0.56598240469208205"/>
    <x v="28"/>
    <s v="Acute &amp; Community"/>
  </r>
  <r>
    <s v="RAX"/>
    <s v="KINGSTON AND RICHMOND NHS FOUNDATION TRUST"/>
    <s v="SWL"/>
    <x v="3"/>
    <n v="402"/>
    <n v="169"/>
    <n v="0.42039800995024801"/>
    <x v="28"/>
    <s v="Acute &amp; Community"/>
  </r>
  <r>
    <s v="RAX"/>
    <s v="KINGSTON AND RICHMOND NHS FOUNDATION TRUST"/>
    <s v="SWL"/>
    <x v="14"/>
    <n v="17"/>
    <n v="3"/>
    <n v="0.17647058823529399"/>
    <x v="28"/>
    <s v="Acute &amp; Community"/>
  </r>
  <r>
    <s v="RAX"/>
    <s v="KINGSTON AND RICHMOND NHS FOUNDATION TRUST"/>
    <s v="SWL"/>
    <x v="13"/>
    <n v="235"/>
    <n v="90"/>
    <n v="0.38297872340425498"/>
    <x v="28"/>
    <s v="Acute &amp; Community"/>
  </r>
  <r>
    <s v="RAX"/>
    <s v="KINGSTON AND RICHMOND NHS FOUNDATION TRUST"/>
    <s v="SWL"/>
    <x v="0"/>
    <n v="63"/>
    <n v="26"/>
    <n v="0.41269841269841201"/>
    <x v="28"/>
    <s v="Acute &amp; Community"/>
  </r>
  <r>
    <s v="RAX"/>
    <s v="KINGSTON AND RICHMOND NHS FOUNDATION TRUST"/>
    <s v="SWL"/>
    <x v="7"/>
    <n v="79"/>
    <n v="24"/>
    <n v="0.30379746835443"/>
    <x v="28"/>
    <s v="Acute &amp; Community"/>
  </r>
  <r>
    <s v="RAX"/>
    <s v="KINGSTON AND RICHMOND NHS FOUNDATION TRUST"/>
    <s v="SWL"/>
    <x v="6"/>
    <n v="87"/>
    <n v="18"/>
    <n v="0.20689655172413701"/>
    <x v="28"/>
    <s v="Acute &amp; Community"/>
  </r>
  <r>
    <s v="RAX"/>
    <s v="KINGSTON AND RICHMOND NHS FOUNDATION TRUST"/>
    <s v="SWL"/>
    <x v="1"/>
    <n v="231"/>
    <n v="101"/>
    <n v="0.43722943722943702"/>
    <x v="28"/>
    <s v="Acute &amp; Community"/>
  </r>
  <r>
    <s v="RAX"/>
    <s v="KINGSTON AND RICHMOND NHS FOUNDATION TRUST"/>
    <s v="SWL"/>
    <x v="10"/>
    <n v="305"/>
    <n v="86"/>
    <n v="0.28196721311475398"/>
    <x v="28"/>
    <s v="Acute &amp; Community"/>
  </r>
  <r>
    <s v="RAX"/>
    <s v="KINGSTON AND RICHMOND NHS FOUNDATION TRUST"/>
    <s v="SWL"/>
    <x v="4"/>
    <n v="54"/>
    <n v="15"/>
    <n v="0.27777777777777701"/>
    <x v="28"/>
    <s v="Acute &amp; Community"/>
  </r>
  <r>
    <s v="RQY"/>
    <s v="SOUTH WEST LONDON AND ST GEORGE'S MENTAL HEALTH NHS TRUST"/>
    <s v="SWL"/>
    <x v="9"/>
    <n v="15"/>
    <n v="5"/>
    <n v="0.33333333333333298"/>
    <x v="29"/>
    <s v="Mental Health"/>
  </r>
  <r>
    <s v="RQY"/>
    <s v="SOUTH WEST LONDON AND ST GEORGE'S MENTAL HEALTH NHS TRUST"/>
    <s v="SWL"/>
    <x v="11"/>
    <n v="19"/>
    <n v="11"/>
    <n v="0.57894736842105199"/>
    <x v="29"/>
    <s v="Mental Health"/>
  </r>
  <r>
    <s v="RQY"/>
    <s v="SOUTH WEST LONDON AND ST GEORGE'S MENTAL HEALTH NHS TRUST"/>
    <s v="SWL"/>
    <x v="3"/>
    <n v="220"/>
    <n v="72"/>
    <n v="0.32727272727272699"/>
    <x v="29"/>
    <s v="Mental Health"/>
  </r>
  <r>
    <s v="RQY"/>
    <s v="SOUTH WEST LONDON AND ST GEORGE'S MENTAL HEALTH NHS TRUST"/>
    <s v="SWL"/>
    <x v="4"/>
    <n v="63"/>
    <n v="11"/>
    <n v="0.17460317460317401"/>
    <x v="29"/>
    <s v="Mental Health"/>
  </r>
  <r>
    <s v="RQY"/>
    <s v="SOUTH WEST LONDON AND ST GEORGE'S MENTAL HEALTH NHS TRUST"/>
    <s v="SWL"/>
    <x v="13"/>
    <n v="75"/>
    <n v="37"/>
    <n v="0.49333333333333301"/>
    <x v="29"/>
    <s v="Mental Health"/>
  </r>
  <r>
    <s v="RQY"/>
    <s v="SOUTH WEST LONDON AND ST GEORGE'S MENTAL HEALTH NHS TRUST"/>
    <s v="SWL"/>
    <x v="8"/>
    <n v="18"/>
    <n v="8"/>
    <n v="0.44444444444444398"/>
    <x v="29"/>
    <s v="Mental Health"/>
  </r>
  <r>
    <s v="RQY"/>
    <s v="SOUTH WEST LONDON AND ST GEORGE'S MENTAL HEALTH NHS TRUST"/>
    <s v="SWL"/>
    <x v="10"/>
    <n v="742"/>
    <n v="193"/>
    <n v="0.26010781671159"/>
    <x v="29"/>
    <s v="Mental Health"/>
  </r>
  <r>
    <s v="RQY"/>
    <s v="SOUTH WEST LONDON AND ST GEORGE'S MENTAL HEALTH NHS TRUST"/>
    <s v="SWL"/>
    <x v="15"/>
    <n v="36"/>
    <n v="18"/>
    <n v="0.5"/>
    <x v="29"/>
    <s v="Mental Health"/>
  </r>
  <r>
    <s v="RQY"/>
    <s v="SOUTH WEST LONDON AND ST GEORGE'S MENTAL HEALTH NHS TRUST"/>
    <s v="SWL"/>
    <x v="12"/>
    <n v="97"/>
    <n v="37"/>
    <n v="0.38144329896907198"/>
    <x v="29"/>
    <s v="Mental Health"/>
  </r>
  <r>
    <s v="RQY"/>
    <s v="SOUTH WEST LONDON AND ST GEORGE'S MENTAL HEALTH NHS TRUST"/>
    <s v="SWL"/>
    <x v="1"/>
    <n v="134"/>
    <n v="43"/>
    <n v="0.32089552238805902"/>
    <x v="29"/>
    <s v="Mental Health"/>
  </r>
  <r>
    <s v="RQY"/>
    <s v="SOUTH WEST LONDON AND ST GEORGE'S MENTAL HEALTH NHS TRUST"/>
    <s v="SWL"/>
    <x v="7"/>
    <n v="31"/>
    <n v="5"/>
    <n v="0.16129032258064499"/>
    <x v="29"/>
    <s v="Mental Health"/>
  </r>
  <r>
    <s v="RQY"/>
    <s v="SOUTH WEST LONDON AND ST GEORGE'S MENTAL HEALTH NHS TRUST"/>
    <s v="SWL"/>
    <x v="6"/>
    <n v="171"/>
    <n v="36"/>
    <n v="0.21052631578947301"/>
    <x v="29"/>
    <s v="Mental Health"/>
  </r>
  <r>
    <s v="RQY"/>
    <s v="SOUTH WEST LONDON AND ST GEORGE'S MENTAL HEALTH NHS TRUST"/>
    <s v="SWL"/>
    <x v="2"/>
    <n v="48"/>
    <n v="15"/>
    <n v="0.3125"/>
    <x v="29"/>
    <s v="Mental Health"/>
  </r>
  <r>
    <s v="RQY"/>
    <s v="SOUTH WEST LONDON AND ST GEORGE'S MENTAL HEALTH NHS TRUST"/>
    <s v="SWL"/>
    <x v="5"/>
    <n v="638"/>
    <n v="313"/>
    <n v="0.49059561128526602"/>
    <x v="29"/>
    <s v="Mental Health"/>
  </r>
  <r>
    <s v="RQY"/>
    <s v="SOUTH WEST LONDON AND ST GEORGE'S MENTAL HEALTH NHS TRUST"/>
    <s v="SWL"/>
    <x v="0"/>
    <n v="32"/>
    <n v="14"/>
    <n v="0.4375"/>
    <x v="29"/>
    <s v="Mental Health"/>
  </r>
  <r>
    <s v="RQY"/>
    <s v="SOUTH WEST LONDON AND ST GEORGE'S MENTAL HEALTH NHS TRUST"/>
    <s v="SWL"/>
    <x v="14"/>
    <n v="11"/>
    <n v="3"/>
    <n v="0.27272727272727199"/>
    <x v="29"/>
    <s v="Mental Health"/>
  </r>
  <r>
    <s v="RQY"/>
    <s v="SOUTH WEST LONDON AND ST GEORGE'S MENTAL HEALTH NHS TRUST"/>
    <s v="SWL"/>
    <x v="16"/>
    <n v="104"/>
    <n v="40"/>
    <n v="0.38461538461538403"/>
    <x v="29"/>
    <s v="Mental Health"/>
  </r>
  <r>
    <s v="RQY"/>
    <s v="SOUTH WEST LONDON AND ST GEORGE'S MENTAL HEALTH NHS TRUST"/>
    <s v="SWL"/>
    <x v="1"/>
    <n v="0"/>
    <n v="0"/>
    <m/>
    <x v="29"/>
    <s v="Mental Health"/>
  </r>
  <r>
    <s v="RJ7"/>
    <s v="ST GEORGE'S UNIVERSITY HOSPITALS NHS FOUNDATION TRUST"/>
    <s v="SWL"/>
    <x v="12"/>
    <n v="551"/>
    <n v="237"/>
    <n v="0.430127041742286"/>
    <x v="30"/>
    <s v="Acute"/>
  </r>
  <r>
    <s v="RJ7"/>
    <s v="ST GEORGE'S UNIVERSITY HOSPITALS NHS FOUNDATION TRUST"/>
    <s v="SWL"/>
    <x v="7"/>
    <n v="132"/>
    <n v="40"/>
    <n v="0.30303030303030298"/>
    <x v="30"/>
    <s v="Acute"/>
  </r>
  <r>
    <s v="RJ7"/>
    <s v="ST GEORGE'S UNIVERSITY HOSPITALS NHS FOUNDATION TRUST"/>
    <s v="SWL"/>
    <x v="14"/>
    <n v="36"/>
    <n v="7"/>
    <n v="0.194444444444444"/>
    <x v="30"/>
    <s v="Acute"/>
  </r>
  <r>
    <s v="RJ7"/>
    <s v="ST GEORGE'S UNIVERSITY HOSPITALS NHS FOUNDATION TRUST"/>
    <s v="SWL"/>
    <x v="5"/>
    <n v="1838"/>
    <n v="1040"/>
    <n v="0.56583242655059796"/>
    <x v="30"/>
    <s v="Acute"/>
  </r>
  <r>
    <s v="RJ7"/>
    <s v="ST GEORGE'S UNIVERSITY HOSPITALS NHS FOUNDATION TRUST"/>
    <s v="SWL"/>
    <x v="0"/>
    <n v="144"/>
    <n v="67"/>
    <n v="0.46527777777777701"/>
    <x v="30"/>
    <s v="Acute"/>
  </r>
  <r>
    <s v="RJ7"/>
    <s v="ST GEORGE'S UNIVERSITY HOSPITALS NHS FOUNDATION TRUST"/>
    <s v="SWL"/>
    <x v="4"/>
    <n v="221"/>
    <n v="38"/>
    <n v="0.17194570135746601"/>
    <x v="30"/>
    <s v="Acute"/>
  </r>
  <r>
    <s v="RJ7"/>
    <s v="ST GEORGE'S UNIVERSITY HOSPITALS NHS FOUNDATION TRUST"/>
    <s v="SWL"/>
    <x v="10"/>
    <n v="759"/>
    <n v="173"/>
    <n v="0.22793148880105399"/>
    <x v="30"/>
    <s v="Acute"/>
  </r>
  <r>
    <s v="RJ7"/>
    <s v="ST GEORGE'S UNIVERSITY HOSPITALS NHS FOUNDATION TRUST"/>
    <s v="SWL"/>
    <x v="1"/>
    <n v="4"/>
    <n v="0"/>
    <n v="0"/>
    <x v="30"/>
    <s v="Acute"/>
  </r>
  <r>
    <s v="RJ7"/>
    <s v="ST GEORGE'S UNIVERSITY HOSPITALS NHS FOUNDATION TRUST"/>
    <s v="SWL"/>
    <x v="2"/>
    <n v="70"/>
    <n v="13"/>
    <n v="0.185714285714285"/>
    <x v="30"/>
    <s v="Acute"/>
  </r>
  <r>
    <s v="RJ7"/>
    <s v="ST GEORGE'S UNIVERSITY HOSPITALS NHS FOUNDATION TRUST"/>
    <s v="SWL"/>
    <x v="1"/>
    <n v="364"/>
    <n v="153"/>
    <n v="0.42032967032967"/>
    <x v="30"/>
    <s v="Acute"/>
  </r>
  <r>
    <s v="RJ7"/>
    <s v="ST GEORGE'S UNIVERSITY HOSPITALS NHS FOUNDATION TRUST"/>
    <s v="SWL"/>
    <x v="9"/>
    <n v="53"/>
    <n v="22"/>
    <n v="0.41509433962264097"/>
    <x v="30"/>
    <s v="Acute"/>
  </r>
  <r>
    <s v="RJ7"/>
    <s v="ST GEORGE'S UNIVERSITY HOSPITALS NHS FOUNDATION TRUST"/>
    <s v="SWL"/>
    <x v="16"/>
    <n v="839"/>
    <n v="351"/>
    <n v="0.418355184743742"/>
    <x v="30"/>
    <s v="Acute"/>
  </r>
  <r>
    <s v="RJ7"/>
    <s v="ST GEORGE'S UNIVERSITY HOSPITALS NHS FOUNDATION TRUST"/>
    <s v="SWL"/>
    <x v="6"/>
    <n v="213"/>
    <n v="43"/>
    <n v="0.2018779342723"/>
    <x v="30"/>
    <s v="Acute"/>
  </r>
  <r>
    <s v="RJ7"/>
    <s v="ST GEORGE'S UNIVERSITY HOSPITALS NHS FOUNDATION TRUST"/>
    <s v="SWL"/>
    <x v="13"/>
    <n v="566"/>
    <n v="206"/>
    <n v="0.36395759717314402"/>
    <x v="30"/>
    <s v="Acute"/>
  </r>
  <r>
    <s v="RJ7"/>
    <s v="ST GEORGE'S UNIVERSITY HOSPITALS NHS FOUNDATION TRUST"/>
    <s v="SWL"/>
    <x v="3"/>
    <n v="801"/>
    <n v="314"/>
    <n v="0.39200998751560501"/>
    <x v="30"/>
    <s v="Acute"/>
  </r>
  <r>
    <s v="RJ7"/>
    <s v="ST GEORGE'S UNIVERSITY HOSPITALS NHS FOUNDATION TRUST"/>
    <s v="SWL"/>
    <x v="8"/>
    <n v="64"/>
    <n v="16"/>
    <n v="0.25"/>
    <x v="30"/>
    <s v="Acute"/>
  </r>
  <r>
    <s v="RJ7"/>
    <s v="ST GEORGE'S UNIVERSITY HOSPITALS NHS FOUNDATION TRUST"/>
    <s v="SWL"/>
    <x v="15"/>
    <n v="123"/>
    <n v="66"/>
    <n v="0.53658536585365801"/>
    <x v="30"/>
    <s v="Acute"/>
  </r>
  <r>
    <s v="RJ7"/>
    <s v="ST GEORGE'S UNIVERSITY HOSPITALS NHS FOUNDATION TRUST"/>
    <s v="SWL"/>
    <x v="11"/>
    <n v="99"/>
    <n v="49"/>
    <n v="0.49494949494949497"/>
    <x v="30"/>
    <s v="Acute"/>
  </r>
  <r>
    <s v="RPY"/>
    <s v="THE ROYAL MARSDEN NHS FOUNDATION TRUST"/>
    <s v="SWL"/>
    <x v="12"/>
    <n v="252"/>
    <n v="107"/>
    <n v="0.42460317460317398"/>
    <x v="31"/>
    <s v="Specialist"/>
  </r>
  <r>
    <s v="RPY"/>
    <s v="THE ROYAL MARSDEN NHS FOUNDATION TRUST"/>
    <s v="SWL"/>
    <x v="3"/>
    <n v="444"/>
    <n v="187"/>
    <n v="0.42117117117117098"/>
    <x v="31"/>
    <s v="Specialist"/>
  </r>
  <r>
    <s v="RPY"/>
    <s v="THE ROYAL MARSDEN NHS FOUNDATION TRUST"/>
    <s v="SWL"/>
    <x v="13"/>
    <n v="224"/>
    <n v="89"/>
    <n v="0.39732142857142799"/>
    <x v="31"/>
    <s v="Specialist"/>
  </r>
  <r>
    <s v="RPY"/>
    <s v="THE ROYAL MARSDEN NHS FOUNDATION TRUST"/>
    <s v="SWL"/>
    <x v="0"/>
    <n v="65"/>
    <n v="25"/>
    <n v="0.38461538461538403"/>
    <x v="31"/>
    <s v="Specialist"/>
  </r>
  <r>
    <s v="RPY"/>
    <s v="THE ROYAL MARSDEN NHS FOUNDATION TRUST"/>
    <s v="SWL"/>
    <x v="1"/>
    <n v="5"/>
    <n v="1"/>
    <n v="0.2"/>
    <x v="31"/>
    <s v="Specialist"/>
  </r>
  <r>
    <s v="RPY"/>
    <s v="THE ROYAL MARSDEN NHS FOUNDATION TRUST"/>
    <s v="SWL"/>
    <x v="9"/>
    <n v="30"/>
    <n v="20"/>
    <n v="0.66666666666666596"/>
    <x v="31"/>
    <s v="Specialist"/>
  </r>
  <r>
    <s v="RPY"/>
    <s v="THE ROYAL MARSDEN NHS FOUNDATION TRUST"/>
    <s v="SWL"/>
    <x v="8"/>
    <n v="38"/>
    <n v="16"/>
    <n v="0.42105263157894701"/>
    <x v="31"/>
    <s v="Specialist"/>
  </r>
  <r>
    <s v="RPY"/>
    <s v="THE ROYAL MARSDEN NHS FOUNDATION TRUST"/>
    <s v="SWL"/>
    <x v="7"/>
    <n v="40"/>
    <n v="16"/>
    <n v="0.4"/>
    <x v="31"/>
    <s v="Specialist"/>
  </r>
  <r>
    <s v="RPY"/>
    <s v="THE ROYAL MARSDEN NHS FOUNDATION TRUST"/>
    <s v="SWL"/>
    <x v="10"/>
    <n v="236"/>
    <n v="66"/>
    <n v="0.27966101694915202"/>
    <x v="31"/>
    <s v="Specialist"/>
  </r>
  <r>
    <s v="RPY"/>
    <s v="THE ROYAL MARSDEN NHS FOUNDATION TRUST"/>
    <s v="SWL"/>
    <x v="16"/>
    <n v="340"/>
    <n v="170"/>
    <n v="0.5"/>
    <x v="31"/>
    <s v="Specialist"/>
  </r>
  <r>
    <s v="RPY"/>
    <s v="THE ROYAL MARSDEN NHS FOUNDATION TRUST"/>
    <s v="SWL"/>
    <x v="6"/>
    <n v="61"/>
    <n v="18"/>
    <n v="0.29508196721311403"/>
    <x v="31"/>
    <s v="Specialist"/>
  </r>
  <r>
    <s v="RPY"/>
    <s v="THE ROYAL MARSDEN NHS FOUNDATION TRUST"/>
    <s v="SWL"/>
    <x v="1"/>
    <n v="211"/>
    <n v="95"/>
    <n v="0.45023696682464398"/>
    <x v="31"/>
    <s v="Specialist"/>
  </r>
  <r>
    <s v="RPY"/>
    <s v="THE ROYAL MARSDEN NHS FOUNDATION TRUST"/>
    <s v="SWL"/>
    <x v="15"/>
    <n v="60"/>
    <n v="28"/>
    <n v="0.46666666666666601"/>
    <x v="31"/>
    <s v="Specialist"/>
  </r>
  <r>
    <s v="RPY"/>
    <s v="THE ROYAL MARSDEN NHS FOUNDATION TRUST"/>
    <s v="SWL"/>
    <x v="5"/>
    <n v="1224"/>
    <n v="692"/>
    <n v="0.565359477124183"/>
    <x v="31"/>
    <s v="Specialist"/>
  </r>
  <r>
    <s v="RPY"/>
    <s v="THE ROYAL MARSDEN NHS FOUNDATION TRUST"/>
    <s v="SWL"/>
    <x v="2"/>
    <n v="22"/>
    <n v="6"/>
    <n v="0.27272727272727199"/>
    <x v="31"/>
    <s v="Specialist"/>
  </r>
  <r>
    <s v="RPY"/>
    <s v="THE ROYAL MARSDEN NHS FOUNDATION TRUST"/>
    <s v="SWL"/>
    <x v="11"/>
    <n v="66"/>
    <n v="33"/>
    <n v="0.5"/>
    <x v="31"/>
    <s v="Specialist"/>
  </r>
  <r>
    <s v="RPY"/>
    <s v="THE ROYAL MARSDEN NHS FOUNDATION TRUST"/>
    <s v="SWL"/>
    <x v="4"/>
    <n v="58"/>
    <n v="10"/>
    <n v="0.17241379310344801"/>
    <x v="31"/>
    <s v="Specialist"/>
  </r>
  <r>
    <s v="RPY"/>
    <s v="THE ROYAL MARSDEN NHS FOUNDATION TRUST"/>
    <s v="SWL"/>
    <x v="14"/>
    <n v="9"/>
    <n v="2"/>
    <n v="0.22222222222222199"/>
    <x v="31"/>
    <s v="Specialist"/>
  </r>
  <r>
    <s v="RJ7"/>
    <s v="ST GEORGE'S UNIVERSITY HOSPITALS NHS FOUNDATION TRUST"/>
    <s v="SWL"/>
    <x v="10"/>
    <n v="777"/>
    <n v="175"/>
    <n v="0.22522522522522501"/>
    <x v="30"/>
    <s v="Acute"/>
  </r>
  <r>
    <s v="RJ7"/>
    <s v="ST GEORGE'S UNIVERSITY HOSPITALS NHS FOUNDATION TRUST"/>
    <s v="SWL"/>
    <x v="1"/>
    <n v="11"/>
    <n v="4"/>
    <n v="0.36363636363636298"/>
    <x v="30"/>
    <s v="Acute"/>
  </r>
  <r>
    <s v="RJ7"/>
    <s v="ST GEORGE'S UNIVERSITY HOSPITALS NHS FOUNDATION TRUST"/>
    <s v="SWL"/>
    <x v="2"/>
    <n v="68"/>
    <n v="12"/>
    <n v="0.17647058823529399"/>
    <x v="30"/>
    <s v="Acute"/>
  </r>
  <r>
    <s v="RJ7"/>
    <s v="ST GEORGE'S UNIVERSITY HOSPITALS NHS FOUNDATION TRUST"/>
    <s v="SWL"/>
    <x v="1"/>
    <n v="130"/>
    <n v="55"/>
    <n v="0.42307692307692302"/>
    <x v="30"/>
    <s v="Acute"/>
  </r>
  <r>
    <s v="RJ7"/>
    <s v="ST GEORGE'S UNIVERSITY HOSPITALS NHS FOUNDATION TRUST"/>
    <s v="SWL"/>
    <x v="9"/>
    <n v="51"/>
    <n v="21"/>
    <n v="0.41176470588235198"/>
    <x v="30"/>
    <s v="Acute"/>
  </r>
  <r>
    <s v="RJ7"/>
    <s v="ST GEORGE'S UNIVERSITY HOSPITALS NHS FOUNDATION TRUST"/>
    <s v="SWL"/>
    <x v="16"/>
    <n v="859"/>
    <n v="360"/>
    <n v="0.41909196740395799"/>
    <x v="30"/>
    <s v="Acute"/>
  </r>
  <r>
    <s v="RJ7"/>
    <s v="ST GEORGE'S UNIVERSITY HOSPITALS NHS FOUNDATION TRUST"/>
    <s v="SWL"/>
    <x v="6"/>
    <n v="226"/>
    <n v="45"/>
    <n v="0.199115044247787"/>
    <x v="30"/>
    <s v="Acute"/>
  </r>
  <r>
    <s v="RJ7"/>
    <s v="ST GEORGE'S UNIVERSITY HOSPITALS NHS FOUNDATION TRUST"/>
    <s v="SWL"/>
    <x v="13"/>
    <n v="570"/>
    <n v="202"/>
    <n v="0.35438596491228003"/>
    <x v="30"/>
    <s v="Acute"/>
  </r>
  <r>
    <s v="RJ7"/>
    <s v="ST GEORGE'S UNIVERSITY HOSPITALS NHS FOUNDATION TRUST"/>
    <s v="SWL"/>
    <x v="1"/>
    <n v="41"/>
    <n v="16"/>
    <n v="0.39024390243902402"/>
    <x v="30"/>
    <s v="Acute"/>
  </r>
  <r>
    <s v="RJ7"/>
    <s v="ST GEORGE'S UNIVERSITY HOSPITALS NHS FOUNDATION TRUST"/>
    <s v="SWL"/>
    <x v="3"/>
    <n v="812"/>
    <n v="332"/>
    <n v="0.40886699507389102"/>
    <x v="30"/>
    <s v="Acute"/>
  </r>
  <r>
    <s v="RJ7"/>
    <s v="ST GEORGE'S UNIVERSITY HOSPITALS NHS FOUNDATION TRUST"/>
    <s v="SWL"/>
    <x v="8"/>
    <n v="67"/>
    <n v="19"/>
    <n v="0.28358208955223801"/>
    <x v="30"/>
    <s v="Acute"/>
  </r>
  <r>
    <s v="RJ7"/>
    <s v="ST GEORGE'S UNIVERSITY HOSPITALS NHS FOUNDATION TRUST"/>
    <s v="SWL"/>
    <x v="15"/>
    <n v="127"/>
    <n v="68"/>
    <n v="0.535433070866141"/>
    <x v="30"/>
    <s v="Acute"/>
  </r>
  <r>
    <s v="RJ7"/>
    <s v="ST GEORGE'S UNIVERSITY HOSPITALS NHS FOUNDATION TRUST"/>
    <s v="SWL"/>
    <x v="11"/>
    <n v="102"/>
    <n v="51"/>
    <n v="0.5"/>
    <x v="30"/>
    <s v="Acute"/>
  </r>
  <r>
    <s v="RPY"/>
    <s v="THE ROYAL MARSDEN NHS FOUNDATION TRUST"/>
    <s v="SWL"/>
    <x v="12"/>
    <n v="252"/>
    <n v="105"/>
    <n v="0.41666666666666602"/>
    <x v="31"/>
    <s v="Specialist"/>
  </r>
  <r>
    <s v="RPY"/>
    <s v="THE ROYAL MARSDEN NHS FOUNDATION TRUST"/>
    <s v="SWL"/>
    <x v="3"/>
    <n v="463"/>
    <n v="192"/>
    <n v="0.41468682505399501"/>
    <x v="31"/>
    <s v="Specialist"/>
  </r>
  <r>
    <s v="RPY"/>
    <s v="THE ROYAL MARSDEN NHS FOUNDATION TRUST"/>
    <s v="SWL"/>
    <x v="13"/>
    <n v="234"/>
    <n v="90"/>
    <n v="0.38461538461538403"/>
    <x v="31"/>
    <s v="Specialist"/>
  </r>
  <r>
    <s v="RPY"/>
    <s v="THE ROYAL MARSDEN NHS FOUNDATION TRUST"/>
    <s v="SWL"/>
    <x v="0"/>
    <n v="66"/>
    <n v="23"/>
    <n v="0.34848484848484801"/>
    <x v="31"/>
    <s v="Specialist"/>
  </r>
  <r>
    <s v="RPY"/>
    <s v="THE ROYAL MARSDEN NHS FOUNDATION TRUST"/>
    <s v="SWL"/>
    <x v="1"/>
    <n v="9"/>
    <n v="2"/>
    <n v="0.22222222222222199"/>
    <x v="31"/>
    <s v="Specialist"/>
  </r>
  <r>
    <s v="RPY"/>
    <s v="THE ROYAL MARSDEN NHS FOUNDATION TRUST"/>
    <s v="SWL"/>
    <x v="9"/>
    <n v="29"/>
    <n v="20"/>
    <n v="0.68965517241379304"/>
    <x v="31"/>
    <s v="Specialist"/>
  </r>
  <r>
    <s v="RPY"/>
    <s v="THE ROYAL MARSDEN NHS FOUNDATION TRUST"/>
    <s v="SWL"/>
    <x v="8"/>
    <n v="39"/>
    <n v="17"/>
    <n v="0.43589743589743501"/>
    <x v="31"/>
    <s v="Specialist"/>
  </r>
  <r>
    <s v="RPY"/>
    <s v="THE ROYAL MARSDEN NHS FOUNDATION TRUST"/>
    <s v="SWL"/>
    <x v="7"/>
    <n v="42"/>
    <n v="17"/>
    <n v="0.40476190476190399"/>
    <x v="31"/>
    <s v="Specialist"/>
  </r>
  <r>
    <s v="RPY"/>
    <s v="THE ROYAL MARSDEN NHS FOUNDATION TRUST"/>
    <s v="SWL"/>
    <x v="10"/>
    <n v="241"/>
    <n v="66"/>
    <n v="0.27385892116182498"/>
    <x v="31"/>
    <s v="Specialist"/>
  </r>
  <r>
    <s v="RPY"/>
    <s v="THE ROYAL MARSDEN NHS FOUNDATION TRUST"/>
    <s v="SWL"/>
    <x v="16"/>
    <n v="346"/>
    <n v="167"/>
    <n v="0.48265895953757199"/>
    <x v="31"/>
    <s v="Specialist"/>
  </r>
  <r>
    <s v="RPY"/>
    <s v="THE ROYAL MARSDEN NHS FOUNDATION TRUST"/>
    <s v="SWL"/>
    <x v="6"/>
    <n v="67"/>
    <n v="22"/>
    <n v="0.328358208955223"/>
    <x v="31"/>
    <s v="Specialist"/>
  </r>
  <r>
    <s v="RPY"/>
    <s v="THE ROYAL MARSDEN NHS FOUNDATION TRUST"/>
    <s v="SWL"/>
    <x v="1"/>
    <n v="95"/>
    <n v="40"/>
    <n v="0.42105263157894701"/>
    <x v="31"/>
    <s v="Specialist"/>
  </r>
  <r>
    <s v="RPY"/>
    <s v="THE ROYAL MARSDEN NHS FOUNDATION TRUST"/>
    <s v="SWL"/>
    <x v="15"/>
    <n v="66"/>
    <n v="31"/>
    <n v="0.469696969696969"/>
    <x v="31"/>
    <s v="Specialist"/>
  </r>
  <r>
    <s v="RPY"/>
    <s v="THE ROYAL MARSDEN NHS FOUNDATION TRUST"/>
    <s v="SWL"/>
    <x v="5"/>
    <n v="1259"/>
    <n v="716"/>
    <n v="0.568705321683876"/>
    <x v="31"/>
    <s v="Specialist"/>
  </r>
  <r>
    <s v="RPY"/>
    <s v="THE ROYAL MARSDEN NHS FOUNDATION TRUST"/>
    <s v="SWL"/>
    <x v="1"/>
    <n v="34"/>
    <n v="14"/>
    <n v="0.41176470588235198"/>
    <x v="31"/>
    <s v="Specialist"/>
  </r>
  <r>
    <s v="RPY"/>
    <s v="THE ROYAL MARSDEN NHS FOUNDATION TRUST"/>
    <s v="SWL"/>
    <x v="2"/>
    <n v="24"/>
    <n v="7"/>
    <n v="0.29166666666666602"/>
    <x v="31"/>
    <s v="Specialist"/>
  </r>
  <r>
    <s v="RPY"/>
    <s v="THE ROYAL MARSDEN NHS FOUNDATION TRUST"/>
    <s v="SWL"/>
    <x v="11"/>
    <n v="66"/>
    <n v="33"/>
    <n v="0.5"/>
    <x v="31"/>
    <s v="Specialist"/>
  </r>
  <r>
    <s v="RPY"/>
    <s v="THE ROYAL MARSDEN NHS FOUNDATION TRUST"/>
    <s v="SWL"/>
    <x v="4"/>
    <n v="60"/>
    <n v="11"/>
    <n v="0.18333333333333299"/>
    <x v="31"/>
    <s v="Specialist"/>
  </r>
  <r>
    <s v="RPY"/>
    <s v="THE ROYAL MARSDEN NHS FOUNDATION TRUST"/>
    <s v="SWL"/>
    <x v="14"/>
    <n v="9"/>
    <n v="2"/>
    <n v="0.22222222222222199"/>
    <x v="31"/>
    <s v="Specialist"/>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1FC927F-2D43-42DC-AD92-DD4C7F047C32}" name="PivotTable6" cacheId="1"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Trust">
  <location ref="G6:J39" firstHeaderRow="0" firstDataRow="1" firstDataCol="1" rowPageCount="1" colPageCount="1"/>
  <pivotFields count="13">
    <pivotField showAll="0"/>
    <pivotField showAll="0"/>
    <pivotField showAll="0"/>
    <pivotField axis="axisPage" showAll="0">
      <items count="21">
        <item m="1" x="18"/>
        <item x="5"/>
        <item x="15"/>
        <item x="3"/>
        <item x="14"/>
        <item x="2"/>
        <item x="9"/>
        <item x="0"/>
        <item x="13"/>
        <item x="7"/>
        <item x="8"/>
        <item x="16"/>
        <item x="4"/>
        <item x="10"/>
        <item x="6"/>
        <item x="11"/>
        <item x="12"/>
        <item m="1" x="19"/>
        <item m="1" x="17"/>
        <item x="1"/>
        <item t="default"/>
      </items>
    </pivotField>
    <pivotField dataField="1" showAll="0"/>
    <pivotField dataField="1" showAll="0"/>
    <pivotField showAll="0"/>
    <pivotField axis="axisRow" showAll="0" sortType="ascending">
      <items count="41">
        <item x="10"/>
        <item m="1" x="37"/>
        <item x="9"/>
        <item m="1" x="39"/>
        <item m="1" x="35"/>
        <item x="15"/>
        <item x="14"/>
        <item x="0"/>
        <item x="26"/>
        <item x="11"/>
        <item x="27"/>
        <item x="1"/>
        <item x="21"/>
        <item x="19"/>
        <item x="12"/>
        <item m="1" x="38"/>
        <item x="16"/>
        <item x="28"/>
        <item x="22"/>
        <item m="1" x="36"/>
        <item m="1" x="34"/>
        <item x="23"/>
        <item x="17"/>
        <item x="18"/>
        <item x="31"/>
        <item x="2"/>
        <item x="13"/>
        <item x="3"/>
        <item m="1" x="33"/>
        <item x="24"/>
        <item x="5"/>
        <item x="4"/>
        <item x="25"/>
        <item x="30"/>
        <item x="29"/>
        <item x="6"/>
        <item x="7"/>
        <item x="20"/>
        <item x="8"/>
        <item m="1" x="32"/>
        <item t="default"/>
      </items>
    </pivotField>
    <pivotField showAll="0"/>
    <pivotField dragToRow="0" dragToCol="0" dragToPage="0" showAll="0" defaultSubtotal="0"/>
    <pivotField dragToRow="0" dragToCol="0" dragToPage="0" showAll="0" defaultSubtotal="0"/>
    <pivotField dataField="1" dragToRow="0" dragToCol="0" dragToPage="0" showAll="0" defaultSubtotal="0"/>
    <pivotField dragToRow="0" dragToCol="0" dragToPage="0" showAll="0" defaultSubtotal="0"/>
  </pivotFields>
  <rowFields count="1">
    <field x="7"/>
  </rowFields>
  <rowItems count="33">
    <i>
      <x/>
    </i>
    <i>
      <x v="2"/>
    </i>
    <i>
      <x v="5"/>
    </i>
    <i>
      <x v="6"/>
    </i>
    <i>
      <x v="7"/>
    </i>
    <i>
      <x v="8"/>
    </i>
    <i>
      <x v="9"/>
    </i>
    <i>
      <x v="10"/>
    </i>
    <i>
      <x v="11"/>
    </i>
    <i>
      <x v="12"/>
    </i>
    <i>
      <x v="13"/>
    </i>
    <i>
      <x v="14"/>
    </i>
    <i>
      <x v="16"/>
    </i>
    <i>
      <x v="17"/>
    </i>
    <i>
      <x v="18"/>
    </i>
    <i>
      <x v="21"/>
    </i>
    <i>
      <x v="22"/>
    </i>
    <i>
      <x v="23"/>
    </i>
    <i>
      <x v="24"/>
    </i>
    <i>
      <x v="25"/>
    </i>
    <i>
      <x v="26"/>
    </i>
    <i>
      <x v="27"/>
    </i>
    <i>
      <x v="29"/>
    </i>
    <i>
      <x v="30"/>
    </i>
    <i>
      <x v="31"/>
    </i>
    <i>
      <x v="32"/>
    </i>
    <i>
      <x v="33"/>
    </i>
    <i>
      <x v="34"/>
    </i>
    <i>
      <x v="35"/>
    </i>
    <i>
      <x v="36"/>
    </i>
    <i>
      <x v="37"/>
    </i>
    <i>
      <x v="38"/>
    </i>
    <i t="grand">
      <x/>
    </i>
  </rowItems>
  <colFields count="1">
    <field x="-2"/>
  </colFields>
  <colItems count="3">
    <i>
      <x/>
    </i>
    <i i="1">
      <x v="1"/>
    </i>
    <i i="2">
      <x v="2"/>
    </i>
  </colItems>
  <pageFields count="1">
    <pageField fld="3" hier="-1"/>
  </pageFields>
  <dataFields count="3">
    <dataField name="Staff" fld="4" baseField="0" baseItem="0"/>
    <dataField name="Doses" fld="5" baseField="0" baseItem="0"/>
    <dataField name="Uptake" fld="11" baseField="0" baseItem="0" numFmtId="164"/>
  </dataFields>
  <formats count="15">
    <format dxfId="43">
      <pivotArea outline="0" collapsedLevelsAreSubtotals="1" fieldPosition="0"/>
    </format>
    <format dxfId="42">
      <pivotArea outline="0" collapsedLevelsAreSubtotals="1" fieldPosition="0">
        <references count="1">
          <reference field="4294967294" count="1" selected="0">
            <x v="2"/>
          </reference>
        </references>
      </pivotArea>
    </format>
    <format dxfId="41">
      <pivotArea dataOnly="0" labelOnly="1" outline="0" fieldPosition="0">
        <references count="1">
          <reference field="4294967294" count="3">
            <x v="0"/>
            <x v="1"/>
            <x v="2"/>
          </reference>
        </references>
      </pivotArea>
    </format>
    <format dxfId="40">
      <pivotArea type="all" dataOnly="0" outline="0" fieldPosition="0"/>
    </format>
    <format dxfId="39">
      <pivotArea outline="0" collapsedLevelsAreSubtotals="1" fieldPosition="0"/>
    </format>
    <format dxfId="38">
      <pivotArea field="7" type="button" dataOnly="0" labelOnly="1" outline="0" axis="axisRow" fieldPosition="0"/>
    </format>
    <format dxfId="37">
      <pivotArea dataOnly="0" labelOnly="1" fieldPosition="0">
        <references count="1">
          <reference field="7" count="0"/>
        </references>
      </pivotArea>
    </format>
    <format dxfId="36">
      <pivotArea dataOnly="0" labelOnly="1" grandRow="1" outline="0" fieldPosition="0"/>
    </format>
    <format dxfId="35">
      <pivotArea dataOnly="0" labelOnly="1" outline="0" fieldPosition="0">
        <references count="1">
          <reference field="4294967294" count="3">
            <x v="0"/>
            <x v="1"/>
            <x v="2"/>
          </reference>
        </references>
      </pivotArea>
    </format>
    <format dxfId="34">
      <pivotArea type="all" dataOnly="0" outline="0" fieldPosition="0"/>
    </format>
    <format dxfId="33">
      <pivotArea outline="0" collapsedLevelsAreSubtotals="1" fieldPosition="0"/>
    </format>
    <format dxfId="32">
      <pivotArea field="7" type="button" dataOnly="0" labelOnly="1" outline="0" axis="axisRow" fieldPosition="0"/>
    </format>
    <format dxfId="31">
      <pivotArea dataOnly="0" labelOnly="1" fieldPosition="0">
        <references count="1">
          <reference field="7" count="0"/>
        </references>
      </pivotArea>
    </format>
    <format dxfId="30">
      <pivotArea dataOnly="0" labelOnly="1" grandRow="1" outline="0" fieldPosition="0"/>
    </format>
    <format dxfId="29">
      <pivotArea dataOnly="0" labelOnly="1" outline="0" fieldPosition="0">
        <references count="1">
          <reference field="4294967294" count="3">
            <x v="0"/>
            <x v="1"/>
            <x v="2"/>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5F495284-1A16-48DE-BEB3-87017B57AD91}" name="PivotTable2" cacheId="0" applyNumberFormats="0" applyBorderFormats="0" applyFontFormats="0" applyPatternFormats="0" applyAlignmentFormats="0" applyWidthHeightFormats="1" dataCaption="Values" updatedVersion="8" minRefreshableVersion="3" itemPrintTitles="1" createdVersion="8" indent="0" outline="1" outlineData="1" multipleFieldFilters="0" rowHeaderCaption="Trust">
  <location ref="B6:E39" firstHeaderRow="0" firstDataRow="1" firstDataCol="1" rowPageCount="1" colPageCount="1"/>
  <pivotFields count="12">
    <pivotField showAll="0"/>
    <pivotField showAll="0"/>
    <pivotField showAll="0"/>
    <pivotField axis="axisPage" multipleItemSelectionAllowed="1" showAll="0">
      <items count="10">
        <item x="6"/>
        <item x="7"/>
        <item x="3"/>
        <item x="5"/>
        <item x="0"/>
        <item x="8"/>
        <item x="2"/>
        <item x="4"/>
        <item x="1"/>
        <item t="default"/>
      </items>
    </pivotField>
    <pivotField dataField="1" showAll="0"/>
    <pivotField dataField="1" showAll="0"/>
    <pivotField showAll="0"/>
    <pivotField axis="axisRow" showAll="0" sortType="ascending">
      <items count="41">
        <item x="10"/>
        <item m="1" x="36"/>
        <item x="9"/>
        <item m="1" x="38"/>
        <item m="1" x="34"/>
        <item x="15"/>
        <item x="14"/>
        <item x="0"/>
        <item x="26"/>
        <item x="11"/>
        <item x="27"/>
        <item x="1"/>
        <item x="21"/>
        <item x="19"/>
        <item x="12"/>
        <item m="1" x="37"/>
        <item x="16"/>
        <item x="28"/>
        <item x="22"/>
        <item m="1" x="35"/>
        <item m="1" x="33"/>
        <item x="23"/>
        <item x="17"/>
        <item x="18"/>
        <item x="31"/>
        <item x="2"/>
        <item x="13"/>
        <item x="3"/>
        <item m="1" x="32"/>
        <item x="24"/>
        <item x="5"/>
        <item x="4"/>
        <item x="25"/>
        <item x="30"/>
        <item x="29"/>
        <item x="6"/>
        <item x="7"/>
        <item x="20"/>
        <item x="8"/>
        <item m="1" x="39"/>
        <item t="default"/>
      </items>
    </pivotField>
    <pivotField dragToRow="0" dragToCol="0" dragToPage="0" showAll="0" defaultSubtotal="0"/>
    <pivotField dragToRow="0" dragToCol="0" dragToPage="0" showAll="0" defaultSubtotal="0"/>
    <pivotField dataField="1" dragToRow="0" dragToCol="0" dragToPage="0" showAll="0" defaultSubtotal="0"/>
    <pivotField dragToRow="0" dragToCol="0" dragToPage="0" showAll="0" defaultSubtotal="0"/>
  </pivotFields>
  <rowFields count="1">
    <field x="7"/>
  </rowFields>
  <rowItems count="33">
    <i>
      <x/>
    </i>
    <i>
      <x v="2"/>
    </i>
    <i>
      <x v="5"/>
    </i>
    <i>
      <x v="6"/>
    </i>
    <i>
      <x v="7"/>
    </i>
    <i>
      <x v="8"/>
    </i>
    <i>
      <x v="9"/>
    </i>
    <i>
      <x v="10"/>
    </i>
    <i>
      <x v="11"/>
    </i>
    <i>
      <x v="12"/>
    </i>
    <i>
      <x v="13"/>
    </i>
    <i>
      <x v="14"/>
    </i>
    <i>
      <x v="16"/>
    </i>
    <i>
      <x v="17"/>
    </i>
    <i>
      <x v="18"/>
    </i>
    <i>
      <x v="21"/>
    </i>
    <i>
      <x v="22"/>
    </i>
    <i>
      <x v="23"/>
    </i>
    <i>
      <x v="24"/>
    </i>
    <i>
      <x v="25"/>
    </i>
    <i>
      <x v="26"/>
    </i>
    <i>
      <x v="27"/>
    </i>
    <i>
      <x v="29"/>
    </i>
    <i>
      <x v="30"/>
    </i>
    <i>
      <x v="31"/>
    </i>
    <i>
      <x v="32"/>
    </i>
    <i>
      <x v="33"/>
    </i>
    <i>
      <x v="34"/>
    </i>
    <i>
      <x v="35"/>
    </i>
    <i>
      <x v="36"/>
    </i>
    <i>
      <x v="37"/>
    </i>
    <i>
      <x v="38"/>
    </i>
    <i t="grand">
      <x/>
    </i>
  </rowItems>
  <colFields count="1">
    <field x="-2"/>
  </colFields>
  <colItems count="3">
    <i>
      <x/>
    </i>
    <i i="1">
      <x v="1"/>
    </i>
    <i i="2">
      <x v="2"/>
    </i>
  </colItems>
  <pageFields count="1">
    <pageField fld="3" hier="-1"/>
  </pageFields>
  <dataFields count="3">
    <dataField name="Staff" fld="4" baseField="0" baseItem="0"/>
    <dataField name="Doses" fld="5" baseField="0" baseItem="0"/>
    <dataField name="Uptake" fld="10" baseField="0" baseItem="0" numFmtId="164"/>
  </dataFields>
  <formats count="16">
    <format dxfId="59">
      <pivotArea outline="0" collapsedLevelsAreSubtotals="1" fieldPosition="0"/>
    </format>
    <format dxfId="58">
      <pivotArea dataOnly="0" labelOnly="1" outline="0" fieldPosition="0">
        <references count="1">
          <reference field="4294967294" count="3">
            <x v="0"/>
            <x v="1"/>
            <x v="2"/>
          </reference>
        </references>
      </pivotArea>
    </format>
    <format dxfId="57">
      <pivotArea outline="0" collapsedLevelsAreSubtotals="1" fieldPosition="0">
        <references count="1">
          <reference field="4294967294" count="1" selected="0">
            <x v="2"/>
          </reference>
        </references>
      </pivotArea>
    </format>
    <format dxfId="56">
      <pivotArea dataOnly="0" labelOnly="1" outline="0" fieldPosition="0">
        <references count="1">
          <reference field="4294967294" count="3">
            <x v="0"/>
            <x v="1"/>
            <x v="2"/>
          </reference>
        </references>
      </pivotArea>
    </format>
    <format dxfId="55">
      <pivotArea type="all" dataOnly="0" outline="0" fieldPosition="0"/>
    </format>
    <format dxfId="54">
      <pivotArea outline="0" collapsedLevelsAreSubtotals="1" fieldPosition="0"/>
    </format>
    <format dxfId="53">
      <pivotArea field="7" type="button" dataOnly="0" labelOnly="1" outline="0" axis="axisRow" fieldPosition="0"/>
    </format>
    <format dxfId="52">
      <pivotArea dataOnly="0" labelOnly="1" fieldPosition="0">
        <references count="1">
          <reference field="7" count="0"/>
        </references>
      </pivotArea>
    </format>
    <format dxfId="51">
      <pivotArea dataOnly="0" labelOnly="1" grandRow="1" outline="0" fieldPosition="0"/>
    </format>
    <format dxfId="50">
      <pivotArea dataOnly="0" labelOnly="1" outline="0" fieldPosition="0">
        <references count="1">
          <reference field="4294967294" count="3">
            <x v="0"/>
            <x v="1"/>
            <x v="2"/>
          </reference>
        </references>
      </pivotArea>
    </format>
    <format dxfId="49">
      <pivotArea type="all" dataOnly="0" outline="0" fieldPosition="0"/>
    </format>
    <format dxfId="48">
      <pivotArea outline="0" collapsedLevelsAreSubtotals="1" fieldPosition="0"/>
    </format>
    <format dxfId="47">
      <pivotArea field="7" type="button" dataOnly="0" labelOnly="1" outline="0" axis="axisRow" fieldPosition="0"/>
    </format>
    <format dxfId="46">
      <pivotArea dataOnly="0" labelOnly="1" fieldPosition="0">
        <references count="1">
          <reference field="7" count="0"/>
        </references>
      </pivotArea>
    </format>
    <format dxfId="45">
      <pivotArea dataOnly="0" labelOnly="1" grandRow="1" outline="0" fieldPosition="0"/>
    </format>
    <format dxfId="44">
      <pivotArea dataOnly="0" labelOnly="1" outline="0" fieldPosition="0">
        <references count="1">
          <reference field="4294967294" count="3">
            <x v="0"/>
            <x v="1"/>
            <x v="2"/>
          </reference>
        </references>
      </pivotArea>
    </format>
  </formats>
  <pivotTableStyleInfo name="PivotStyleMedium9"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7A89B8B-B8AE-4C59-AFC3-945808619105}" name="flu_eng" displayName="flu_eng" ref="B4:L210" totalsRowShown="0" headerRowDxfId="103" dataDxfId="102">
  <autoFilter ref="B4:L210" xr:uid="{A7A89B8B-B8AE-4C59-AFC3-945808619105}"/>
  <tableColumns count="11">
    <tableColumn id="1" xr3:uid="{3C348A39-7AE2-4968-8F30-453BEED3954C}" name="trust_code" dataDxfId="101"/>
    <tableColumn id="2" xr3:uid="{EBD28222-BF04-4854-AE0B-F4C5B43B7350}" name="trust_name" dataDxfId="100"/>
    <tableColumn id="3" xr3:uid="{B82B0472-E7C4-4A0F-870A-87CB010F50FA}" name="region" dataDxfId="99"/>
    <tableColumn id="4" xr3:uid="{AB4486EC-1FB3-43F4-84B7-D702F913CF13}" name="icb" dataDxfId="98"/>
    <tableColumn id="8" xr3:uid="{D3149700-5D08-42C9-9B26-644204605588}" name="fl_staff" dataDxfId="97"/>
    <tableColumn id="7" xr3:uid="{B9E5EC57-1DC9-432C-95DE-8E4EEC3F8A0E}" name="fl_doses" dataDxfId="96"/>
    <tableColumn id="6" xr3:uid="{F0541717-2BAC-4A5B-B6D2-9F435DA15EA1}" name="fl_uptake" dataDxfId="95" dataCellStyle="Per cent"/>
    <tableColumn id="5" xr3:uid="{7F58460F-B9F1-4A10-9C84-327DD722EFDE}" name="fl_5%_target" dataDxfId="94" dataCellStyle="Per cent"/>
    <tableColumn id="9" xr3:uid="{8F1AD6C1-66EB-46CA-A815-E9A21C4767BC}" name="nfl_staff" dataDxfId="93"/>
    <tableColumn id="10" xr3:uid="{9E294C2B-98B2-4332-82A3-BBCCB166A035}" name="nfl_doses" dataDxfId="92"/>
    <tableColumn id="11" xr3:uid="{EF9B5772-F64C-4B89-885F-01FD022D1B46}" name="nfl_uptake" dataDxfId="91"/>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40BE7A0-6611-4BE1-B25F-2444E1C775B0}" name="age_group" displayName="age_group" ref="AW4:BB323" totalsRowShown="0" headerRowDxfId="21" dataDxfId="22" headerRowBorderDxfId="28">
  <autoFilter ref="AW4:BB323" xr:uid="{940BE7A0-6611-4BE1-B25F-2444E1C775B0}"/>
  <tableColumns count="6">
    <tableColumn id="1" xr3:uid="{DE985836-8008-4B56-8DDE-E5B880FC6163}" name="trust_code" dataDxfId="27"/>
    <tableColumn id="2" xr3:uid="{CD94DD72-F279-42BE-9614-4D3EA612EB97}" name="trust_name" dataDxfId="26"/>
    <tableColumn id="3" xr3:uid="{D07FC41E-5338-48F3-8181-95FD274BDACB}" name="age_group" dataDxfId="25"/>
    <tableColumn id="4" xr3:uid="{B51A1259-9D17-44DB-B7AF-15C9F03E611C}" name="flhcw" dataDxfId="24"/>
    <tableColumn id="5" xr3:uid="{AF61F4AD-94D8-4543-9C05-BB49B09AA4B6}" name="vve" dataDxfId="23"/>
    <tableColumn id="7" xr3:uid="{1FF57C57-27AF-494E-A851-32467BAB7084}" name="trust_short" dataDxfId="20">
      <calculatedColumnFormula>VLOOKUP(age_group[[#This Row],[trust_code]],trust_lookup[],3,0)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D8F421E-D6BF-4A7C-ADA0-5BCFA9BFDB8B}" name="flu_staff" displayName="flu_staff" ref="N4:U284" totalsRowShown="0" headerRowDxfId="90" dataDxfId="88" headerRowBorderDxfId="89" tableBorderDxfId="87">
  <autoFilter ref="N4:U284" xr:uid="{DD8F421E-D6BF-4A7C-ADA0-5BCFA9BFDB8B}"/>
  <tableColumns count="8">
    <tableColumn id="1" xr3:uid="{C1155D4B-823C-41C5-BAF9-2BD85D41E9B9}" name="trust_code" dataDxfId="86"/>
    <tableColumn id="2" xr3:uid="{3725FDFC-5457-4236-B328-76D8878D6B93}" name="trust_name" dataDxfId="85"/>
    <tableColumn id="7" xr3:uid="{D2F1D458-BB2F-46A8-B503-C70FC83E1D59}" name="icb" dataDxfId="84"/>
    <tableColumn id="6" xr3:uid="{61832568-EE57-4CC4-ADCB-82FB64D5A4EF}" name="Staff Group" dataDxfId="83"/>
    <tableColumn id="3" xr3:uid="{2836D3CF-D629-464E-A215-527D06AB9DCA}" name="fl_staff" dataDxfId="82"/>
    <tableColumn id="5" xr3:uid="{99609F1D-FECA-4A54-A940-7AC5D2A3CD84}" name="fl_doses" dataDxfId="81"/>
    <tableColumn id="9" xr3:uid="{E4E8CFBF-2146-454C-A89D-9AFC39E84324}" name="fl_uptake" dataDxfId="80"/>
    <tableColumn id="4" xr3:uid="{3DB90EBF-0E32-4196-9784-EB625F6571D3}" name="trust_short" dataDxfId="79">
      <calculatedColumnFormula>VLOOKUP(flu_staff[[#This Row],[trust_code]],trust_lookup[],3,0)</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C42B5981-0253-4F53-AE62-90AE78DBD64F}" name="flu_eth_ep" displayName="flu_eth_ep" ref="W4:AE612" totalsRowShown="0" headerRowDxfId="78" dataDxfId="77">
  <autoFilter ref="W4:AE612" xr:uid="{C42B5981-0253-4F53-AE62-90AE78DBD64F}"/>
  <tableColumns count="9">
    <tableColumn id="1" xr3:uid="{6CE7DC88-5651-4DDE-A649-0077A872B0EF}" name="trust_code" dataDxfId="76"/>
    <tableColumn id="2" xr3:uid="{93E46D06-803D-4332-A30D-4F4E3BB77F31}" name="trust_name" dataDxfId="75"/>
    <tableColumn id="3" xr3:uid="{AB872FF3-3C3E-4DBC-9014-C361C065D675}" name="icb" dataDxfId="74"/>
    <tableColumn id="4" xr3:uid="{8E5ABA0F-9848-44A8-9FCE-E2618CA2E498}" name="Ethnicity" dataDxfId="73"/>
    <tableColumn id="7" xr3:uid="{9563FD75-E778-4531-A949-4A8135CC7371}" name="fl_staff" dataDxfId="72"/>
    <tableColumn id="8" xr3:uid="{51FA9BFC-A394-403A-B690-FD8DCE01EFD0}" name="fl_doses" dataDxfId="71"/>
    <tableColumn id="5" xr3:uid="{D0FBFE1A-A914-429B-B911-7B75624EE917}" name="fl_uptake" dataDxfId="70"/>
    <tableColumn id="6" xr3:uid="{795C4EE4-DFB4-44D3-B1FC-D9633B48162B}" name="trust_short" dataDxfId="69">
      <calculatedColumnFormula>VLOOKUP(flu_eth_ep[[#This Row],[trust_code]],trust_lookup[],3,0)</calculatedColumnFormula>
    </tableColumn>
    <tableColumn id="9" xr3:uid="{B8F8F67E-5B2A-4077-AF08-D8DE0785F524}" name="trust_type" dataDxfId="68">
      <calculatedColumnFormula>VLOOKUP(flu_eth_ep[[#This Row],[trust_code]],trust_lookup[],4,0)</calculatedColumnFormula>
    </tableColumn>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09E6CA3-F32F-4416-8C4A-83B5DE26BC87}" name="trust_lookup" displayName="trust_lookup" ref="AG4:AJ36" totalsRowShown="0" headerRowDxfId="67" headerRowBorderDxfId="66" tableBorderDxfId="65" totalsRowBorderDxfId="64">
  <autoFilter ref="AG4:AJ36" xr:uid="{809E6CA3-F32F-4416-8C4A-83B5DE26BC87}"/>
  <tableColumns count="4">
    <tableColumn id="1" xr3:uid="{B0794E6C-1485-4D3E-9999-31BBFDC06CEB}" name="Trust_Code" dataDxfId="63"/>
    <tableColumn id="2" xr3:uid="{728995A5-865B-42BA-A062-C926E399BE2E}" name="Trust_Long" dataDxfId="62"/>
    <tableColumn id="3" xr3:uid="{FEC0CCB6-53C6-4896-95D7-CF44BE4D22F8}" name="Trust_Short" dataDxfId="61"/>
    <tableColumn id="4" xr3:uid="{8DF6D335-2E89-45D0-A9EB-C7E6DE6F17F2}" name="Trust_Type" dataDxfId="60"/>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91F8B4B-5004-443C-991E-15BD982365E0}" name="flu_aw24" displayName="flu_aw24" ref="R4:AB863" totalsRowShown="0" headerRowDxfId="158" dataDxfId="157">
  <autoFilter ref="R4:AB863" xr:uid="{691F8B4B-5004-443C-991E-15BD982365E0}"/>
  <tableColumns count="11">
    <tableColumn id="1" xr3:uid="{4C5675D3-9EDE-4FFC-973F-AF23607573E2}" name="week" dataDxfId="156"/>
    <tableColumn id="2" xr3:uid="{C01449CA-7F8F-451F-B96C-6CBF1693D03B}" name="iso_week" dataDxfId="155"/>
    <tableColumn id="3" xr3:uid="{A4375EC9-34ED-4D45-A5D5-86E015E89E47}" name="season" dataDxfId="154"/>
    <tableColumn id="4" xr3:uid="{3ECA56D1-9C2F-4A02-A526-71AEB0742361}" name="trust_code" dataDxfId="153"/>
    <tableColumn id="5" xr3:uid="{3E0172AA-7FD2-4E9D-BD64-2E76D6D00AFA}" name="trust" dataDxfId="152"/>
    <tableColumn id="6" xr3:uid="{B998981C-1F40-4E81-A67D-7630B7CE8334}" name="icb" dataDxfId="151"/>
    <tableColumn id="8" xr3:uid="{BB220BA4-0C0D-487E-B5AC-F75BE7EC661F}" name="aw24_vve" dataDxfId="150"/>
    <tableColumn id="9" xr3:uid="{6A5F2EF2-3627-42D1-911F-F59AF0DEED40}" name="cumulative_aw24_vve" dataDxfId="149"/>
    <tableColumn id="10" xr3:uid="{F485CE7E-C7D0-44A3-B44A-2D2970148042}" name="flhcw" dataDxfId="148"/>
    <tableColumn id="11" xr3:uid="{0BBB81D1-9469-4D1D-B1BF-ED3BE8F594BA}" name="uptake" dataDxfId="147" dataCellStyle="Per cent"/>
    <tableColumn id="12" xr3:uid="{04514776-0A38-4198-BB99-89D138BFB100}" name="trust_short" dataDxfId="146">
      <calculatedColumnFormula>VLOOKUP(flu_aw24[[#This Row],[trust_code]],trust_lookup[],3,0)</calculatedColumnFormula>
    </tableColumn>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383F366-635B-4C7E-BAF9-E2B9F1B14C0A}" name="flu_aw25" displayName="flu_aw25" ref="AD4:AN746" totalsRowShown="0" headerRowDxfId="145" dataDxfId="144">
  <autoFilter ref="AD4:AN746" xr:uid="{0383F366-635B-4C7E-BAF9-E2B9F1B14C0A}"/>
  <tableColumns count="11">
    <tableColumn id="1" xr3:uid="{34474707-0DF8-4791-9894-68DBCEE143D4}" name="week" dataDxfId="143"/>
    <tableColumn id="2" xr3:uid="{D980E843-D892-49CA-88E4-1151F2998706}" name="iso_week" dataDxfId="142"/>
    <tableColumn id="3" xr3:uid="{F419A4EC-DF9A-4086-B7D9-1F18257A4285}" name="season" dataDxfId="141"/>
    <tableColumn id="4" xr3:uid="{34C53F61-31C2-44F9-8E85-1CC7FE550356}" name="trust_code" dataDxfId="140"/>
    <tableColumn id="5" xr3:uid="{6C6A2987-AA77-4A92-96B1-6C7DBC416CD2}" name="trust" dataDxfId="139"/>
    <tableColumn id="6" xr3:uid="{30760A77-9909-4152-A617-35BC40C77795}" name="icb" dataDxfId="138"/>
    <tableColumn id="8" xr3:uid="{106BF1A8-FABE-4AA1-9ACD-887DF357B0C4}" name="aw25_vve" dataDxfId="137"/>
    <tableColumn id="9" xr3:uid="{0EEB2E4A-6F9A-40CF-BCF3-CE5143F3DDF5}" name="cumulative_aw25_vve" dataDxfId="136"/>
    <tableColumn id="10" xr3:uid="{8224DBC0-3A72-4273-8C84-E1BF3D28B9A3}" name="flhcw" dataDxfId="135"/>
    <tableColumn id="11" xr3:uid="{A9239B32-A798-4E1A-A062-6F6818E7F39D}" name="uptake" dataDxfId="134" dataCellStyle="Per cent"/>
    <tableColumn id="12" xr3:uid="{0930ABB6-F14B-4E8A-9A8E-DE24A7D29C52}" name="trust_short" dataDxfId="133">
      <calculatedColumnFormula>VLOOKUP(flu_aw25[[#This Row],[trust_code]],trust_lookup[],3,0)</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3A9F4B2-90CA-4ABD-AEAE-2EE2D1A144EB}" name="flu_location" displayName="flu_location" ref="AP4:AU138" totalsRowShown="0" headerRowDxfId="132" dataDxfId="131">
  <autoFilter ref="AP4:AU138" xr:uid="{93A9F4B2-90CA-4ABD-AEAE-2EE2D1A144EB}"/>
  <tableColumns count="6">
    <tableColumn id="1" xr3:uid="{87D58BA7-CBE6-4FB1-B95F-6F5C172239E7}" name="trust_code" dataDxfId="130"/>
    <tableColumn id="2" xr3:uid="{A6ED0523-3C03-408E-9087-2587B16F6C53}" name="trust" dataDxfId="129"/>
    <tableColumn id="3" xr3:uid="{CA788F8D-1571-4D6D-97FE-EA4C0B54471A}" name="icb" dataDxfId="128"/>
    <tableColumn id="4" xr3:uid="{22EE779F-5C28-440A-9CFC-AEE71019EB94}" name="location" dataDxfId="127"/>
    <tableColumn id="5" xr3:uid="{7DF13E29-1F07-4151-9AD2-0FE080483AAF}" name="aw25_vve" dataDxfId="126"/>
    <tableColumn id="6" xr3:uid="{35FE4480-D70B-4205-8112-1C5686773BCD}" name="trust_short" dataDxfId="125">
      <calculatedColumnFormula>VLOOKUP(flu_location[[#This Row],[trust_code]],trust_lookup[],3,0)</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409B4898-D285-4127-9CAC-F322F87EFE94}" name="flu_group" displayName="flu_group" ref="A4:I537" totalsRowShown="0" headerRowDxfId="124" dataDxfId="123">
  <autoFilter ref="A4:I537" xr:uid="{409B4898-D285-4127-9CAC-F322F87EFE94}"/>
  <tableColumns count="9">
    <tableColumn id="1" xr3:uid="{8589EC9C-3C77-47D6-9FA3-0C2B28780D24}" name="season" dataDxfId="122"/>
    <tableColumn id="7" xr3:uid="{6B595F4D-3174-47CC-B757-7645EDD2AB8A}" name="trust_code" dataDxfId="121"/>
    <tableColumn id="6" xr3:uid="{E9C33FE4-9A9A-41E0-A2D7-A9AC9F9B3C25}" name="trust_name" dataDxfId="120"/>
    <tableColumn id="5" xr3:uid="{6E051C9D-69CA-42A5-8A99-3EB58E8CD0B7}" name="icb" dataDxfId="119"/>
    <tableColumn id="2" xr3:uid="{941B4D7F-6AA0-4837-AE0D-65A55CBC955A}" name="staff_group" dataDxfId="118"/>
    <tableColumn id="3" xr3:uid="{2940545B-5B22-49AC-A064-289E98EB1882}" name="flhcw" dataDxfId="117"/>
    <tableColumn id="4" xr3:uid="{0FCF044D-DD19-4B80-BE4A-E0195C3588CD}" name="vve" dataDxfId="116"/>
    <tableColumn id="9" xr3:uid="{BBE88BA1-8AFF-49C2-A9B8-0E972E47A3E2}" name="trust_short" dataDxfId="115">
      <calculatedColumnFormula>VLOOKUP(flu_group[[#This Row],[trust_code]],trust_lookup[],3,0)</calculatedColumnFormula>
    </tableColumn>
    <tableColumn id="8" xr3:uid="{4BB6466F-0D7C-49F4-A6D2-A97A722C5F5E}" name="trust_type" dataDxfId="114">
      <calculatedColumnFormula>VLOOKUP(flu_group[[#This Row],[trust_code]],trust_lookup[],4,0)</calculatedColumnFormula>
    </tableColumn>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D2A671B-184E-4102-8935-B082A8232173}" name="flu_eth_vve" displayName="flu_eth_vve" ref="K4:P1004" totalsRowShown="0" headerRowDxfId="113" dataDxfId="111" headerRowBorderDxfId="112" tableBorderDxfId="110">
  <autoFilter ref="K4:P1004" xr:uid="{BD2A671B-184E-4102-8935-B082A8232173}"/>
  <tableColumns count="6">
    <tableColumn id="1" xr3:uid="{4071AF12-0817-490F-8867-4BB627B7A5E3}" name="season" dataDxfId="109"/>
    <tableColumn id="2" xr3:uid="{08EB8CC7-3F4B-4D39-834F-2E62FA39241E}" name="trust_code" dataDxfId="108"/>
    <tableColumn id="3" xr3:uid="{9D5208FB-9D2C-4143-94EF-57EFC0A9233C}" name="trust_name" dataDxfId="107"/>
    <tableColumn id="4" xr3:uid="{584A52C5-E1D8-4385-995F-038FAABB46DE}" name="icb" dataDxfId="106"/>
    <tableColumn id="5" xr3:uid="{EFB0EA3E-82C2-43BC-9EA9-80099EE67536}" name="ethnicity" dataDxfId="105"/>
    <tableColumn id="6" xr3:uid="{A57BB551-2C63-42D4-ABA3-1E7E6CAE1FD1}" name="vve" dataDxfId="104"/>
  </tableColumns>
  <tableStyleInfo name="TableStyleMedium2" showFirstColumn="0" showLastColumn="0" showRowStripes="1" showColumnStripes="0"/>
</table>
</file>

<file path=xl/theme/theme1.xml><?xml version="1.0" encoding="utf-8"?>
<a:theme xmlns:a="http://schemas.openxmlformats.org/drawingml/2006/main" name="NHS Theme">
  <a:themeElements>
    <a:clrScheme name="NHS">
      <a:dk1>
        <a:sysClr val="windowText" lastClr="000000"/>
      </a:dk1>
      <a:lt1>
        <a:sysClr val="window" lastClr="FFFFFF"/>
      </a:lt1>
      <a:dk2>
        <a:srgbClr val="003087"/>
      </a:dk2>
      <a:lt2>
        <a:srgbClr val="E8EDEE"/>
      </a:lt2>
      <a:accent1>
        <a:srgbClr val="005EB8"/>
      </a:accent1>
      <a:accent2>
        <a:srgbClr val="00A9CE"/>
      </a:accent2>
      <a:accent3>
        <a:srgbClr val="7C2855"/>
      </a:accent3>
      <a:accent4>
        <a:srgbClr val="FFEB9C"/>
      </a:accent4>
      <a:accent5>
        <a:srgbClr val="C6EFCE"/>
      </a:accent5>
      <a:accent6>
        <a:srgbClr val="FFC7CE"/>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hyperlink" Target="https://england.federateddataplatform.nhs.uk/workspace/contour-app/ri.contour.main.analysis.b6d9f31b-be4f-4107-8d54-e165dd20ea01/path/ri.contour.main.ref.cad9f132-f47b-45c3-a387-5d60a3edf972/board/67128440-a6f1-31a4-a0a4-2b1d1deb2674?viewMode=edit" TargetMode="External"/><Relationship Id="rId5" Type="http://schemas.openxmlformats.org/officeDocument/2006/relationships/table" Target="../tables/table4.xml"/><Relationship Id="rId4" Type="http://schemas.openxmlformats.org/officeDocument/2006/relationships/table" Target="../tables/table3.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18.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table" Target="../tables/table5.xml"/><Relationship Id="rId1" Type="http://schemas.openxmlformats.org/officeDocument/2006/relationships/hyperlink" Target="https://england.federateddataplatform.nhs.uk/workspace/contour-app/ri.contour.main.analysis.d87e2018-b90c-464a-b7f6-d0f3d4e103c8/path/ri.contour.main.ref.cd8c79e9-a7b9-48ad-bb18-a5382ed2542a/board/c8ec1961-8b5c-39cd-9927-722aa05f54be?viewMode=edit" TargetMode="External"/><Relationship Id="rId6" Type="http://schemas.openxmlformats.org/officeDocument/2006/relationships/table" Target="../tables/table9.xml"/><Relationship Id="rId5" Type="http://schemas.openxmlformats.org/officeDocument/2006/relationships/table" Target="../tables/table8.xml"/><Relationship Id="rId4" Type="http://schemas.openxmlformats.org/officeDocument/2006/relationships/table" Target="../tables/table7.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337BD-49D1-4553-9E7E-C265224511F3}">
  <sheetPr>
    <tabColor theme="9"/>
  </sheetPr>
  <dimension ref="A1:AM612"/>
  <sheetViews>
    <sheetView showGridLines="0" topLeftCell="AE1" zoomScale="80" zoomScaleNormal="80" workbookViewId="0">
      <selection activeCell="AQ6" sqref="AQ6"/>
    </sheetView>
  </sheetViews>
  <sheetFormatPr defaultColWidth="8.54296875" defaultRowHeight="14.5" x14ac:dyDescent="0.35"/>
  <cols>
    <col min="1" max="1" width="8.54296875" style="2"/>
    <col min="2" max="2" width="14.1796875" style="2" bestFit="1" customWidth="1"/>
    <col min="3" max="3" width="76.54296875" style="2" bestFit="1" customWidth="1"/>
    <col min="4" max="4" width="22" style="2" bestFit="1" customWidth="1"/>
    <col min="5" max="12" width="8.81640625" style="2" customWidth="1"/>
    <col min="13" max="13" width="8.54296875" style="2"/>
    <col min="14" max="14" width="19.54296875" style="2" bestFit="1" customWidth="1"/>
    <col min="15" max="15" width="65.1796875" style="2" bestFit="1" customWidth="1"/>
    <col min="16" max="16" width="9.1796875" style="2" bestFit="1" customWidth="1"/>
    <col min="17" max="17" width="29.54296875" style="2" bestFit="1" customWidth="1"/>
    <col min="18" max="18" width="9.81640625" style="2" bestFit="1" customWidth="1"/>
    <col min="19" max="19" width="11" style="2" bestFit="1" customWidth="1"/>
    <col min="20" max="20" width="11.81640625" style="2" bestFit="1" customWidth="1"/>
    <col min="21" max="21" width="13.1796875" style="2" bestFit="1" customWidth="1"/>
    <col min="22" max="22" width="8.54296875" style="2"/>
    <col min="23" max="23" width="13" style="2" bestFit="1" customWidth="1"/>
    <col min="24" max="24" width="65.1796875" style="2" bestFit="1" customWidth="1"/>
    <col min="25" max="25" width="42.453125" style="2" bestFit="1" customWidth="1"/>
    <col min="26" max="26" width="46.81640625" style="2" bestFit="1" customWidth="1"/>
    <col min="27" max="27" width="9.81640625" style="2" bestFit="1" customWidth="1"/>
    <col min="28" max="28" width="11" style="2" bestFit="1" customWidth="1"/>
    <col min="29" max="29" width="11.54296875" style="2" bestFit="1" customWidth="1"/>
    <col min="30" max="30" width="13.1796875" style="2" bestFit="1" customWidth="1"/>
    <col min="31" max="31" width="13.1796875" style="2" customWidth="1"/>
    <col min="32" max="32" width="8.54296875" style="2"/>
    <col min="33" max="33" width="12.54296875" style="2" customWidth="1"/>
    <col min="34" max="34" width="65.1796875" style="2" bestFit="1" customWidth="1"/>
    <col min="35" max="35" width="12.54296875" style="2" customWidth="1"/>
    <col min="36" max="36" width="24.6328125" style="2" bestFit="1" customWidth="1"/>
    <col min="37" max="16384" width="8.54296875" style="2"/>
  </cols>
  <sheetData>
    <row r="1" spans="1:39" x14ac:dyDescent="0.35">
      <c r="A1" s="42" t="s">
        <v>0</v>
      </c>
    </row>
    <row r="3" spans="1:39" x14ac:dyDescent="0.35">
      <c r="B3" s="3" t="s">
        <v>1</v>
      </c>
      <c r="N3" s="3" t="s">
        <v>2</v>
      </c>
      <c r="W3" s="3" t="s">
        <v>3</v>
      </c>
      <c r="AG3" s="3"/>
    </row>
    <row r="4" spans="1:39" s="12" customFormat="1" ht="35.15" customHeight="1" x14ac:dyDescent="0.35">
      <c r="B4" s="21" t="s">
        <v>4</v>
      </c>
      <c r="C4" s="21" t="s">
        <v>5</v>
      </c>
      <c r="D4" s="21" t="s">
        <v>6</v>
      </c>
      <c r="E4" s="21" t="s">
        <v>7</v>
      </c>
      <c r="F4" s="21" t="s">
        <v>8</v>
      </c>
      <c r="G4" s="22" t="s">
        <v>9</v>
      </c>
      <c r="H4" s="22" t="s">
        <v>10</v>
      </c>
      <c r="I4" s="22" t="s">
        <v>11</v>
      </c>
      <c r="J4" s="57" t="s">
        <v>12</v>
      </c>
      <c r="K4" s="57" t="s">
        <v>13</v>
      </c>
      <c r="L4" s="57" t="s">
        <v>14</v>
      </c>
      <c r="N4" s="31" t="s">
        <v>4</v>
      </c>
      <c r="O4" s="22" t="s">
        <v>5</v>
      </c>
      <c r="P4" s="13" t="s">
        <v>7</v>
      </c>
      <c r="Q4" s="22" t="s">
        <v>15</v>
      </c>
      <c r="R4" s="22" t="s">
        <v>8</v>
      </c>
      <c r="S4" s="22" t="s">
        <v>9</v>
      </c>
      <c r="T4" s="22" t="s">
        <v>10</v>
      </c>
      <c r="U4" s="40" t="s">
        <v>16</v>
      </c>
      <c r="W4" s="31" t="s">
        <v>4</v>
      </c>
      <c r="X4" s="22" t="s">
        <v>5</v>
      </c>
      <c r="Y4" s="13" t="s">
        <v>7</v>
      </c>
      <c r="Z4" s="22" t="s">
        <v>17</v>
      </c>
      <c r="AA4" s="22" t="s">
        <v>8</v>
      </c>
      <c r="AB4" s="22" t="s">
        <v>9</v>
      </c>
      <c r="AC4" s="22" t="s">
        <v>10</v>
      </c>
      <c r="AD4" s="40" t="s">
        <v>16</v>
      </c>
      <c r="AE4" s="40" t="s">
        <v>631</v>
      </c>
      <c r="AG4" s="37" t="s">
        <v>18</v>
      </c>
      <c r="AH4" s="38" t="s">
        <v>19</v>
      </c>
      <c r="AI4" s="39" t="s">
        <v>20</v>
      </c>
      <c r="AJ4" s="39" t="s">
        <v>626</v>
      </c>
      <c r="AM4" s="80" t="s">
        <v>647</v>
      </c>
    </row>
    <row r="5" spans="1:39" x14ac:dyDescent="0.35">
      <c r="B5" s="2" t="s">
        <v>21</v>
      </c>
      <c r="C5" s="2" t="s">
        <v>22</v>
      </c>
      <c r="D5" s="2" t="s">
        <v>23</v>
      </c>
      <c r="E5" s="2" t="s">
        <v>24</v>
      </c>
      <c r="F5" s="23">
        <v>6998</v>
      </c>
      <c r="G5" s="23">
        <v>3152</v>
      </c>
      <c r="H5" s="24">
        <v>0.45041440411546102</v>
      </c>
      <c r="I5" s="24">
        <v>0.493781688</v>
      </c>
      <c r="J5" s="58">
        <v>1760</v>
      </c>
      <c r="K5" s="58">
        <v>804</v>
      </c>
      <c r="L5" s="24">
        <v>0.45681818181818101</v>
      </c>
      <c r="N5" s="2" t="s">
        <v>25</v>
      </c>
      <c r="O5" s="2" t="s">
        <v>26</v>
      </c>
      <c r="P5" s="2" t="s">
        <v>27</v>
      </c>
      <c r="Q5" s="2" t="s">
        <v>28</v>
      </c>
      <c r="R5" s="23">
        <v>14</v>
      </c>
      <c r="S5" s="23">
        <v>8</v>
      </c>
      <c r="T5" s="24">
        <v>0.57142857142857095</v>
      </c>
      <c r="U5" s="14" t="str">
        <f>VLOOKUP(flu_staff[[#This Row],[trust_code]],trust_lookup[],3,0)</f>
        <v>CNWL</v>
      </c>
      <c r="W5" s="2" t="s">
        <v>25</v>
      </c>
      <c r="X5" s="2" t="s">
        <v>26</v>
      </c>
      <c r="Y5" s="2" t="s">
        <v>27</v>
      </c>
      <c r="Z5" s="2" t="s">
        <v>29</v>
      </c>
      <c r="AA5" s="23">
        <v>80</v>
      </c>
      <c r="AB5" s="23">
        <v>28</v>
      </c>
      <c r="AC5" s="24">
        <v>0.35</v>
      </c>
      <c r="AD5" s="14" t="str">
        <f>VLOOKUP(flu_eth_ep[[#This Row],[trust_code]],trust_lookup[],3,0)</f>
        <v>CNWL</v>
      </c>
      <c r="AE5" s="14" t="str">
        <f>VLOOKUP(flu_eth_ep[[#This Row],[trust_code]],trust_lookup[],4,0)</f>
        <v>Mental Health &amp; Community</v>
      </c>
      <c r="AG5" s="32" t="s">
        <v>30</v>
      </c>
      <c r="AH5" s="5" t="s">
        <v>31</v>
      </c>
      <c r="AI5" s="33" t="s">
        <v>32</v>
      </c>
      <c r="AJ5" s="2" t="s">
        <v>620</v>
      </c>
      <c r="AM5" s="2" t="s">
        <v>32</v>
      </c>
    </row>
    <row r="6" spans="1:39" x14ac:dyDescent="0.35">
      <c r="B6" s="2" t="s">
        <v>33</v>
      </c>
      <c r="C6" s="2" t="s">
        <v>34</v>
      </c>
      <c r="D6" s="2" t="s">
        <v>23</v>
      </c>
      <c r="E6" s="2" t="s">
        <v>24</v>
      </c>
      <c r="F6" s="23">
        <v>3465</v>
      </c>
      <c r="G6" s="23">
        <v>1490</v>
      </c>
      <c r="H6" s="24">
        <v>0.43001443001443002</v>
      </c>
      <c r="I6" s="24">
        <v>0.403098132</v>
      </c>
      <c r="J6" s="58">
        <v>1430</v>
      </c>
      <c r="K6" s="58">
        <v>699</v>
      </c>
      <c r="L6" s="24">
        <v>0.48881118881118801</v>
      </c>
      <c r="N6" s="2" t="s">
        <v>25</v>
      </c>
      <c r="O6" s="2" t="s">
        <v>26</v>
      </c>
      <c r="P6" s="2" t="s">
        <v>27</v>
      </c>
      <c r="Q6" s="2" t="s">
        <v>35</v>
      </c>
      <c r="R6" s="23">
        <v>42</v>
      </c>
      <c r="S6" s="23">
        <v>18</v>
      </c>
      <c r="T6" s="24">
        <v>0.42857142857142799</v>
      </c>
      <c r="U6" s="14" t="str">
        <f>VLOOKUP(flu_staff[[#This Row],[trust_code]],trust_lookup[],3,0)</f>
        <v>CNWL</v>
      </c>
      <c r="W6" s="2" t="s">
        <v>25</v>
      </c>
      <c r="X6" s="2" t="s">
        <v>26</v>
      </c>
      <c r="Y6" s="2" t="s">
        <v>27</v>
      </c>
      <c r="Z6" s="2" t="s">
        <v>36</v>
      </c>
      <c r="AA6" s="23">
        <v>4</v>
      </c>
      <c r="AB6" s="23">
        <v>0</v>
      </c>
      <c r="AC6" s="24">
        <v>0</v>
      </c>
      <c r="AD6" s="14" t="str">
        <f>VLOOKUP(flu_eth_ep[[#This Row],[trust_code]],trust_lookup[],3,0)</f>
        <v>CNWL</v>
      </c>
      <c r="AE6" s="14" t="str">
        <f>VLOOKUP(flu_eth_ep[[#This Row],[trust_code]],trust_lookup[],4,0)</f>
        <v>Mental Health &amp; Community</v>
      </c>
      <c r="AG6" s="32" t="s">
        <v>37</v>
      </c>
      <c r="AH6" s="5" t="s">
        <v>38</v>
      </c>
      <c r="AI6" s="33" t="s">
        <v>39</v>
      </c>
      <c r="AJ6" s="2" t="s">
        <v>620</v>
      </c>
      <c r="AM6" s="2" t="s">
        <v>39</v>
      </c>
    </row>
    <row r="7" spans="1:39" x14ac:dyDescent="0.35">
      <c r="B7" s="2" t="s">
        <v>40</v>
      </c>
      <c r="C7" s="2" t="s">
        <v>41</v>
      </c>
      <c r="D7" s="2" t="s">
        <v>23</v>
      </c>
      <c r="E7" s="2" t="s">
        <v>24</v>
      </c>
      <c r="F7" s="23">
        <v>10543</v>
      </c>
      <c r="G7" s="23">
        <v>6904</v>
      </c>
      <c r="H7" s="24">
        <v>0.65484207531063199</v>
      </c>
      <c r="I7" s="24">
        <v>0.63867043000000001</v>
      </c>
      <c r="J7" s="58">
        <v>3149</v>
      </c>
      <c r="K7" s="58">
        <v>1949</v>
      </c>
      <c r="L7" s="24">
        <v>0.61892664337884995</v>
      </c>
      <c r="N7" s="2" t="s">
        <v>25</v>
      </c>
      <c r="O7" s="2" t="s">
        <v>26</v>
      </c>
      <c r="P7" s="2" t="s">
        <v>27</v>
      </c>
      <c r="Q7" s="2" t="s">
        <v>42</v>
      </c>
      <c r="R7" s="23">
        <v>483</v>
      </c>
      <c r="S7" s="23">
        <v>234</v>
      </c>
      <c r="T7" s="24">
        <v>0.48447204968944102</v>
      </c>
      <c r="U7" s="14" t="str">
        <f>VLOOKUP(flu_staff[[#This Row],[trust_code]],trust_lookup[],3,0)</f>
        <v>CNWL</v>
      </c>
      <c r="W7" s="2" t="s">
        <v>25</v>
      </c>
      <c r="X7" s="2" t="s">
        <v>26</v>
      </c>
      <c r="Y7" s="2" t="s">
        <v>27</v>
      </c>
      <c r="Z7" s="2" t="s">
        <v>47</v>
      </c>
      <c r="AA7" s="23">
        <v>84</v>
      </c>
      <c r="AB7" s="23">
        <v>20</v>
      </c>
      <c r="AC7" s="24">
        <v>0.238095238095238</v>
      </c>
      <c r="AD7" s="14" t="str">
        <f>VLOOKUP(flu_eth_ep[[#This Row],[trust_code]],trust_lookup[],3,0)</f>
        <v>CNWL</v>
      </c>
      <c r="AE7" s="14" t="str">
        <f>VLOOKUP(flu_eth_ep[[#This Row],[trust_code]],trust_lookup[],4,0)</f>
        <v>Mental Health &amp; Community</v>
      </c>
      <c r="AG7" s="32" t="s">
        <v>25</v>
      </c>
      <c r="AH7" s="5" t="s">
        <v>26</v>
      </c>
      <c r="AI7" s="33" t="s">
        <v>43</v>
      </c>
      <c r="AJ7" s="2" t="s">
        <v>621</v>
      </c>
      <c r="AM7" s="2" t="s">
        <v>43</v>
      </c>
    </row>
    <row r="8" spans="1:39" x14ac:dyDescent="0.35">
      <c r="B8" s="2" t="s">
        <v>44</v>
      </c>
      <c r="C8" s="2" t="s">
        <v>45</v>
      </c>
      <c r="D8" s="2" t="s">
        <v>23</v>
      </c>
      <c r="E8" s="2" t="s">
        <v>24</v>
      </c>
      <c r="F8" s="23">
        <v>4053</v>
      </c>
      <c r="G8" s="23">
        <v>1976</v>
      </c>
      <c r="H8" s="24">
        <v>0.48754009375771001</v>
      </c>
      <c r="I8" s="24">
        <v>0.49503144700000001</v>
      </c>
      <c r="J8" s="58">
        <v>636</v>
      </c>
      <c r="K8" s="58">
        <v>355</v>
      </c>
      <c r="L8" s="24">
        <v>0.55817610062892997</v>
      </c>
      <c r="N8" s="2" t="s">
        <v>25</v>
      </c>
      <c r="O8" s="2" t="s">
        <v>26</v>
      </c>
      <c r="P8" s="2" t="s">
        <v>27</v>
      </c>
      <c r="Q8" s="2" t="s">
        <v>46</v>
      </c>
      <c r="R8" s="23">
        <v>91</v>
      </c>
      <c r="S8" s="23">
        <v>44</v>
      </c>
      <c r="T8" s="24">
        <v>0.48351648351648302</v>
      </c>
      <c r="U8" s="14" t="str">
        <f>VLOOKUP(flu_staff[[#This Row],[trust_code]],trust_lookup[],3,0)</f>
        <v>CNWL</v>
      </c>
      <c r="W8" s="2" t="s">
        <v>25</v>
      </c>
      <c r="X8" s="2" t="s">
        <v>26</v>
      </c>
      <c r="Y8" s="2" t="s">
        <v>27</v>
      </c>
      <c r="Z8" s="2" t="s">
        <v>54</v>
      </c>
      <c r="AA8" s="23">
        <v>523</v>
      </c>
      <c r="AB8" s="23">
        <v>183</v>
      </c>
      <c r="AC8" s="24">
        <v>0.34990439770554399</v>
      </c>
      <c r="AD8" s="14" t="str">
        <f>VLOOKUP(flu_eth_ep[[#This Row],[trust_code]],trust_lookup[],3,0)</f>
        <v>CNWL</v>
      </c>
      <c r="AE8" s="14" t="str">
        <f>VLOOKUP(flu_eth_ep[[#This Row],[trust_code]],trust_lookup[],4,0)</f>
        <v>Mental Health &amp; Community</v>
      </c>
      <c r="AG8" s="32" t="s">
        <v>48</v>
      </c>
      <c r="AH8" s="5" t="s">
        <v>49</v>
      </c>
      <c r="AI8" s="33" t="s">
        <v>50</v>
      </c>
      <c r="AJ8" s="2" t="s">
        <v>622</v>
      </c>
      <c r="AM8" s="2" t="s">
        <v>50</v>
      </c>
    </row>
    <row r="9" spans="1:39" x14ac:dyDescent="0.35">
      <c r="B9" s="2" t="s">
        <v>51</v>
      </c>
      <c r="C9" s="2" t="s">
        <v>52</v>
      </c>
      <c r="D9" s="2" t="s">
        <v>23</v>
      </c>
      <c r="E9" s="2" t="s">
        <v>24</v>
      </c>
      <c r="F9" s="23">
        <v>1912</v>
      </c>
      <c r="G9" s="23">
        <v>1185</v>
      </c>
      <c r="H9" s="24">
        <v>0.61976987447698695</v>
      </c>
      <c r="I9" s="24">
        <v>0.63280254800000002</v>
      </c>
      <c r="J9" s="58">
        <v>581</v>
      </c>
      <c r="K9" s="58">
        <v>345</v>
      </c>
      <c r="L9" s="24">
        <v>0.59380378657486999</v>
      </c>
      <c r="N9" s="2" t="s">
        <v>25</v>
      </c>
      <c r="O9" s="2" t="s">
        <v>26</v>
      </c>
      <c r="P9" s="2" t="s">
        <v>27</v>
      </c>
      <c r="Q9" s="2" t="s">
        <v>53</v>
      </c>
      <c r="R9" s="23">
        <v>1899</v>
      </c>
      <c r="S9" s="23">
        <v>622</v>
      </c>
      <c r="T9" s="24">
        <v>0.32754081095313298</v>
      </c>
      <c r="U9" s="14" t="str">
        <f>VLOOKUP(flu_staff[[#This Row],[trust_code]],trust_lookup[],3,0)</f>
        <v>CNWL</v>
      </c>
      <c r="W9" s="2" t="s">
        <v>25</v>
      </c>
      <c r="X9" s="2" t="s">
        <v>26</v>
      </c>
      <c r="Y9" s="2" t="s">
        <v>27</v>
      </c>
      <c r="Z9" s="2" t="s">
        <v>61</v>
      </c>
      <c r="AA9" s="23">
        <v>188</v>
      </c>
      <c r="AB9" s="23">
        <v>34</v>
      </c>
      <c r="AC9" s="24">
        <v>0.180851063829787</v>
      </c>
      <c r="AD9" s="14" t="str">
        <f>VLOOKUP(flu_eth_ep[[#This Row],[trust_code]],trust_lookup[],3,0)</f>
        <v>CNWL</v>
      </c>
      <c r="AE9" s="14" t="str">
        <f>VLOOKUP(flu_eth_ep[[#This Row],[trust_code]],trust_lookup[],4,0)</f>
        <v>Mental Health &amp; Community</v>
      </c>
      <c r="AG9" s="32" t="s">
        <v>55</v>
      </c>
      <c r="AH9" s="5" t="s">
        <v>56</v>
      </c>
      <c r="AI9" s="33" t="s">
        <v>57</v>
      </c>
      <c r="AJ9" s="2" t="s">
        <v>620</v>
      </c>
      <c r="AM9" s="2" t="s">
        <v>57</v>
      </c>
    </row>
    <row r="10" spans="1:39" x14ac:dyDescent="0.35">
      <c r="B10" s="2" t="s">
        <v>58</v>
      </c>
      <c r="C10" s="2" t="s">
        <v>59</v>
      </c>
      <c r="D10" s="2" t="s">
        <v>23</v>
      </c>
      <c r="E10" s="2" t="s">
        <v>24</v>
      </c>
      <c r="F10" s="23">
        <v>5871</v>
      </c>
      <c r="G10" s="23">
        <v>3481</v>
      </c>
      <c r="H10" s="24">
        <v>0.59291432464656701</v>
      </c>
      <c r="I10" s="24">
        <v>0.58146853099999996</v>
      </c>
      <c r="J10" s="58">
        <v>1733</v>
      </c>
      <c r="K10" s="58">
        <v>1094</v>
      </c>
      <c r="L10" s="24">
        <v>0.63127524523946899</v>
      </c>
      <c r="N10" s="2" t="s">
        <v>25</v>
      </c>
      <c r="O10" s="2" t="s">
        <v>26</v>
      </c>
      <c r="P10" s="2" t="s">
        <v>27</v>
      </c>
      <c r="Q10" s="2" t="s">
        <v>60</v>
      </c>
      <c r="R10" s="23">
        <v>933</v>
      </c>
      <c r="S10" s="23">
        <v>369</v>
      </c>
      <c r="T10" s="24">
        <v>0.39549839228295802</v>
      </c>
      <c r="U10" s="14" t="str">
        <f>VLOOKUP(flu_staff[[#This Row],[trust_code]],trust_lookup[],3,0)</f>
        <v>CNWL</v>
      </c>
      <c r="W10" s="2" t="s">
        <v>25</v>
      </c>
      <c r="X10" s="2" t="s">
        <v>26</v>
      </c>
      <c r="Y10" s="2" t="s">
        <v>27</v>
      </c>
      <c r="Z10" s="2" t="s">
        <v>68</v>
      </c>
      <c r="AA10" s="23">
        <v>1735</v>
      </c>
      <c r="AB10" s="23">
        <v>792</v>
      </c>
      <c r="AC10" s="24">
        <v>0.45648414985590702</v>
      </c>
      <c r="AD10" s="14" t="str">
        <f>VLOOKUP(flu_eth_ep[[#This Row],[trust_code]],trust_lookup[],3,0)</f>
        <v>CNWL</v>
      </c>
      <c r="AE10" s="14" t="str">
        <f>VLOOKUP(flu_eth_ep[[#This Row],[trust_code]],trust_lookup[],4,0)</f>
        <v>Mental Health &amp; Community</v>
      </c>
      <c r="AG10" s="32" t="s">
        <v>62</v>
      </c>
      <c r="AH10" s="5" t="s">
        <v>63</v>
      </c>
      <c r="AI10" s="33" t="s">
        <v>64</v>
      </c>
      <c r="AJ10" s="2" t="s">
        <v>623</v>
      </c>
      <c r="AM10" s="2" t="s">
        <v>64</v>
      </c>
    </row>
    <row r="11" spans="1:39" x14ac:dyDescent="0.35">
      <c r="B11" s="2" t="s">
        <v>65</v>
      </c>
      <c r="C11" s="2" t="s">
        <v>66</v>
      </c>
      <c r="D11" s="2" t="s">
        <v>23</v>
      </c>
      <c r="E11" s="2" t="s">
        <v>24</v>
      </c>
      <c r="F11" s="23">
        <v>1826</v>
      </c>
      <c r="G11" s="23">
        <v>1021</v>
      </c>
      <c r="H11" s="24">
        <v>0.55914567360350498</v>
      </c>
      <c r="I11" s="24">
        <v>0.53600357399999998</v>
      </c>
      <c r="J11" s="58">
        <v>569</v>
      </c>
      <c r="K11" s="58">
        <v>349</v>
      </c>
      <c r="L11" s="24">
        <v>0.61335676625658997</v>
      </c>
      <c r="N11" s="2" t="s">
        <v>25</v>
      </c>
      <c r="O11" s="2" t="s">
        <v>26</v>
      </c>
      <c r="P11" s="2" t="s">
        <v>27</v>
      </c>
      <c r="Q11" s="2" t="s">
        <v>67</v>
      </c>
      <c r="R11" s="23">
        <v>786</v>
      </c>
      <c r="S11" s="23">
        <v>279</v>
      </c>
      <c r="T11" s="24">
        <v>0.35496183206106802</v>
      </c>
      <c r="U11" s="14" t="str">
        <f>VLOOKUP(flu_staff[[#This Row],[trust_code]],trust_lookup[],3,0)</f>
        <v>CNWL</v>
      </c>
      <c r="W11" s="2" t="s">
        <v>25</v>
      </c>
      <c r="X11" s="2" t="s">
        <v>26</v>
      </c>
      <c r="Y11" s="2" t="s">
        <v>27</v>
      </c>
      <c r="Z11" s="2" t="s">
        <v>75</v>
      </c>
      <c r="AA11" s="23">
        <v>324</v>
      </c>
      <c r="AB11" s="23">
        <v>72</v>
      </c>
      <c r="AC11" s="24">
        <v>0.22222222222222199</v>
      </c>
      <c r="AD11" s="14" t="str">
        <f>VLOOKUP(flu_eth_ep[[#This Row],[trust_code]],trust_lookup[],3,0)</f>
        <v>CNWL</v>
      </c>
      <c r="AE11" s="14" t="str">
        <f>VLOOKUP(flu_eth_ep[[#This Row],[trust_code]],trust_lookup[],4,0)</f>
        <v>Mental Health &amp; Community</v>
      </c>
      <c r="AG11" s="32" t="s">
        <v>69</v>
      </c>
      <c r="AH11" s="5" t="s">
        <v>70</v>
      </c>
      <c r="AI11" s="33" t="s">
        <v>71</v>
      </c>
      <c r="AJ11" s="2" t="s">
        <v>621</v>
      </c>
      <c r="AM11" s="2" t="s">
        <v>71</v>
      </c>
    </row>
    <row r="12" spans="1:39" x14ac:dyDescent="0.35">
      <c r="B12" s="2" t="s">
        <v>72</v>
      </c>
      <c r="C12" s="2" t="s">
        <v>73</v>
      </c>
      <c r="D12" s="2" t="s">
        <v>23</v>
      </c>
      <c r="E12" s="2" t="s">
        <v>24</v>
      </c>
      <c r="F12" s="23">
        <v>4533</v>
      </c>
      <c r="G12" s="23">
        <v>2143</v>
      </c>
      <c r="H12" s="24">
        <v>0.47275534965806298</v>
      </c>
      <c r="I12" s="24">
        <v>0.44382331799999902</v>
      </c>
      <c r="J12" s="58">
        <v>1638</v>
      </c>
      <c r="K12" s="58">
        <v>727</v>
      </c>
      <c r="L12" s="24">
        <v>0.44383394383394298</v>
      </c>
      <c r="N12" s="2" t="s">
        <v>25</v>
      </c>
      <c r="O12" s="2" t="s">
        <v>26</v>
      </c>
      <c r="P12" s="2" t="s">
        <v>27</v>
      </c>
      <c r="Q12" s="2" t="s">
        <v>81</v>
      </c>
      <c r="R12" s="23">
        <v>1628</v>
      </c>
      <c r="S12" s="23">
        <v>433</v>
      </c>
      <c r="T12" s="24">
        <v>0.26597051597051502</v>
      </c>
      <c r="U12" s="14" t="str">
        <f>VLOOKUP(flu_staff[[#This Row],[trust_code]],trust_lookup[],3,0)</f>
        <v>CNWL</v>
      </c>
      <c r="W12" s="2" t="s">
        <v>25</v>
      </c>
      <c r="X12" s="2" t="s">
        <v>26</v>
      </c>
      <c r="Y12" s="2" t="s">
        <v>27</v>
      </c>
      <c r="Z12" s="2" t="s">
        <v>82</v>
      </c>
      <c r="AA12" s="23">
        <v>106</v>
      </c>
      <c r="AB12" s="23">
        <v>27</v>
      </c>
      <c r="AC12" s="24">
        <v>0.25471698113207503</v>
      </c>
      <c r="AD12" s="14" t="str">
        <f>VLOOKUP(flu_eth_ep[[#This Row],[trust_code]],trust_lookup[],3,0)</f>
        <v>CNWL</v>
      </c>
      <c r="AE12" s="14" t="str">
        <f>VLOOKUP(flu_eth_ep[[#This Row],[trust_code]],trust_lookup[],4,0)</f>
        <v>Mental Health &amp; Community</v>
      </c>
      <c r="AG12" s="32" t="s">
        <v>76</v>
      </c>
      <c r="AH12" s="5" t="s">
        <v>77</v>
      </c>
      <c r="AI12" s="33" t="s">
        <v>78</v>
      </c>
      <c r="AJ12" s="2" t="s">
        <v>620</v>
      </c>
      <c r="AM12" s="2" t="s">
        <v>78</v>
      </c>
    </row>
    <row r="13" spans="1:39" x14ac:dyDescent="0.35">
      <c r="B13" s="2" t="s">
        <v>79</v>
      </c>
      <c r="C13" s="2" t="s">
        <v>80</v>
      </c>
      <c r="D13" s="2" t="s">
        <v>23</v>
      </c>
      <c r="E13" s="2" t="s">
        <v>24</v>
      </c>
      <c r="F13" s="23">
        <v>1621</v>
      </c>
      <c r="G13" s="23">
        <v>924</v>
      </c>
      <c r="H13" s="24">
        <v>0.57001850709438595</v>
      </c>
      <c r="I13" s="24">
        <v>0.53061538500000005</v>
      </c>
      <c r="J13" s="58">
        <v>971</v>
      </c>
      <c r="K13" s="58">
        <v>592</v>
      </c>
      <c r="L13" s="24">
        <v>0.60968074150360396</v>
      </c>
      <c r="N13" s="2" t="s">
        <v>25</v>
      </c>
      <c r="O13" s="2" t="s">
        <v>26</v>
      </c>
      <c r="P13" s="2" t="s">
        <v>27</v>
      </c>
      <c r="Q13" s="2" t="s">
        <v>74</v>
      </c>
      <c r="R13" s="23">
        <v>4</v>
      </c>
      <c r="S13" s="23">
        <v>1</v>
      </c>
      <c r="T13" s="24">
        <v>0.25</v>
      </c>
      <c r="U13" s="14" t="str">
        <f>VLOOKUP(flu_staff[[#This Row],[trust_code]],trust_lookup[],3,0)</f>
        <v>CNWL</v>
      </c>
      <c r="W13" s="2" t="s">
        <v>25</v>
      </c>
      <c r="X13" s="2" t="s">
        <v>26</v>
      </c>
      <c r="Y13" s="2" t="s">
        <v>27</v>
      </c>
      <c r="Z13" s="2" t="s">
        <v>88</v>
      </c>
      <c r="AA13" s="23">
        <v>36</v>
      </c>
      <c r="AB13" s="23">
        <v>6</v>
      </c>
      <c r="AC13" s="24">
        <v>0.16666666666666599</v>
      </c>
      <c r="AD13" s="14" t="str">
        <f>VLOOKUP(flu_eth_ep[[#This Row],[trust_code]],trust_lookup[],3,0)</f>
        <v>CNWL</v>
      </c>
      <c r="AE13" s="14" t="str">
        <f>VLOOKUP(flu_eth_ep[[#This Row],[trust_code]],trust_lookup[],4,0)</f>
        <v>Mental Health &amp; Community</v>
      </c>
      <c r="AG13" s="32" t="s">
        <v>83</v>
      </c>
      <c r="AH13" s="5" t="s">
        <v>84</v>
      </c>
      <c r="AI13" s="33" t="s">
        <v>85</v>
      </c>
      <c r="AJ13" s="2" t="s">
        <v>627</v>
      </c>
      <c r="AM13" s="2" t="s">
        <v>85</v>
      </c>
    </row>
    <row r="14" spans="1:39" x14ac:dyDescent="0.35">
      <c r="B14" s="2" t="s">
        <v>86</v>
      </c>
      <c r="C14" s="2" t="s">
        <v>87</v>
      </c>
      <c r="D14" s="2" t="s">
        <v>23</v>
      </c>
      <c r="E14" s="2" t="s">
        <v>24</v>
      </c>
      <c r="F14" s="23">
        <v>2980</v>
      </c>
      <c r="G14" s="23">
        <v>1106</v>
      </c>
      <c r="H14" s="24">
        <v>0.37114093959731498</v>
      </c>
      <c r="I14" s="24">
        <v>0.37597730099999999</v>
      </c>
      <c r="J14" s="58">
        <v>1687</v>
      </c>
      <c r="K14" s="58">
        <v>823</v>
      </c>
      <c r="L14" s="24">
        <v>0.487848251333728</v>
      </c>
      <c r="N14" s="2" t="s">
        <v>83</v>
      </c>
      <c r="O14" s="2" t="s">
        <v>84</v>
      </c>
      <c r="P14" s="2" t="s">
        <v>27</v>
      </c>
      <c r="Q14" s="2" t="s">
        <v>53</v>
      </c>
      <c r="R14" s="23">
        <v>1400</v>
      </c>
      <c r="S14" s="23">
        <v>811</v>
      </c>
      <c r="T14" s="24">
        <v>0.57928571428571396</v>
      </c>
      <c r="U14" s="14" t="str">
        <f>VLOOKUP(flu_staff[[#This Row],[trust_code]],trust_lookup[],3,0)</f>
        <v>GOSH</v>
      </c>
      <c r="W14" s="2" t="s">
        <v>25</v>
      </c>
      <c r="X14" s="2" t="s">
        <v>26</v>
      </c>
      <c r="Y14" s="2" t="s">
        <v>27</v>
      </c>
      <c r="Z14" s="2" t="s">
        <v>94</v>
      </c>
      <c r="AA14" s="23">
        <v>36</v>
      </c>
      <c r="AB14" s="23">
        <v>14</v>
      </c>
      <c r="AC14" s="24">
        <v>0.38888888888888801</v>
      </c>
      <c r="AD14" s="14" t="str">
        <f>VLOOKUP(flu_eth_ep[[#This Row],[trust_code]],trust_lookup[],3,0)</f>
        <v>CNWL</v>
      </c>
      <c r="AE14" s="14" t="str">
        <f>VLOOKUP(flu_eth_ep[[#This Row],[trust_code]],trust_lookup[],4,0)</f>
        <v>Mental Health &amp; Community</v>
      </c>
      <c r="AG14" s="32" t="s">
        <v>89</v>
      </c>
      <c r="AH14" s="5" t="s">
        <v>90</v>
      </c>
      <c r="AI14" s="33" t="s">
        <v>91</v>
      </c>
      <c r="AJ14" s="2" t="s">
        <v>620</v>
      </c>
      <c r="AM14" s="2" t="s">
        <v>91</v>
      </c>
    </row>
    <row r="15" spans="1:39" x14ac:dyDescent="0.35">
      <c r="B15" s="2" t="s">
        <v>92</v>
      </c>
      <c r="C15" s="2" t="s">
        <v>93</v>
      </c>
      <c r="D15" s="2" t="s">
        <v>23</v>
      </c>
      <c r="E15" s="2" t="s">
        <v>24</v>
      </c>
      <c r="F15" s="23">
        <v>3175</v>
      </c>
      <c r="G15" s="23">
        <v>1502</v>
      </c>
      <c r="H15" s="24">
        <v>0.47307086614173199</v>
      </c>
      <c r="I15" s="24">
        <v>0.47387475499999998</v>
      </c>
      <c r="J15" s="58">
        <v>347</v>
      </c>
      <c r="K15" s="58">
        <v>164</v>
      </c>
      <c r="L15" s="24">
        <v>0.472622478386167</v>
      </c>
      <c r="N15" s="2" t="s">
        <v>83</v>
      </c>
      <c r="O15" s="2" t="s">
        <v>84</v>
      </c>
      <c r="P15" s="2" t="s">
        <v>27</v>
      </c>
      <c r="Q15" s="2" t="s">
        <v>28</v>
      </c>
      <c r="R15" s="23">
        <v>370</v>
      </c>
      <c r="S15" s="23">
        <v>128</v>
      </c>
      <c r="T15" s="24">
        <v>0.34594594594594502</v>
      </c>
      <c r="U15" s="14" t="str">
        <f>VLOOKUP(flu_staff[[#This Row],[trust_code]],trust_lookup[],3,0)</f>
        <v>GOSH</v>
      </c>
      <c r="W15" s="2" t="s">
        <v>25</v>
      </c>
      <c r="X15" s="2" t="s">
        <v>26</v>
      </c>
      <c r="Y15" s="2" t="s">
        <v>27</v>
      </c>
      <c r="Z15" s="2" t="s">
        <v>100</v>
      </c>
      <c r="AA15" s="23">
        <v>1102</v>
      </c>
      <c r="AB15" s="23">
        <v>257</v>
      </c>
      <c r="AC15" s="24">
        <v>0.233212341197822</v>
      </c>
      <c r="AD15" s="14" t="str">
        <f>VLOOKUP(flu_eth_ep[[#This Row],[trust_code]],trust_lookup[],3,0)</f>
        <v>CNWL</v>
      </c>
      <c r="AE15" s="14" t="str">
        <f>VLOOKUP(flu_eth_ep[[#This Row],[trust_code]],trust_lookup[],4,0)</f>
        <v>Mental Health &amp; Community</v>
      </c>
      <c r="AG15" s="32" t="s">
        <v>95</v>
      </c>
      <c r="AH15" s="5" t="s">
        <v>96</v>
      </c>
      <c r="AI15" s="33" t="s">
        <v>97</v>
      </c>
      <c r="AJ15" s="2" t="s">
        <v>620</v>
      </c>
      <c r="AM15" s="2" t="s">
        <v>97</v>
      </c>
    </row>
    <row r="16" spans="1:39" x14ac:dyDescent="0.35">
      <c r="B16" s="2" t="s">
        <v>98</v>
      </c>
      <c r="C16" s="2" t="s">
        <v>99</v>
      </c>
      <c r="D16" s="2" t="s">
        <v>23</v>
      </c>
      <c r="E16" s="2" t="s">
        <v>24</v>
      </c>
      <c r="F16" s="23">
        <v>3714</v>
      </c>
      <c r="G16" s="23">
        <v>1907</v>
      </c>
      <c r="H16" s="24">
        <v>0.51346257404415696</v>
      </c>
      <c r="I16" s="24">
        <v>0.44420803799999897</v>
      </c>
      <c r="J16" s="58">
        <v>1339</v>
      </c>
      <c r="K16" s="58">
        <v>656</v>
      </c>
      <c r="L16" s="24">
        <v>0.48991784914115</v>
      </c>
      <c r="N16" s="2" t="s">
        <v>83</v>
      </c>
      <c r="O16" s="2" t="s">
        <v>84</v>
      </c>
      <c r="P16" s="2" t="s">
        <v>27</v>
      </c>
      <c r="Q16" s="2" t="s">
        <v>67</v>
      </c>
      <c r="R16" s="23">
        <v>328</v>
      </c>
      <c r="S16" s="23">
        <v>202</v>
      </c>
      <c r="T16" s="24">
        <v>0.61585365853658502</v>
      </c>
      <c r="U16" s="14" t="str">
        <f>VLOOKUP(flu_staff[[#This Row],[trust_code]],trust_lookup[],3,0)</f>
        <v>GOSH</v>
      </c>
      <c r="W16" s="2" t="s">
        <v>25</v>
      </c>
      <c r="X16" s="2" t="s">
        <v>26</v>
      </c>
      <c r="Y16" s="2" t="s">
        <v>27</v>
      </c>
      <c r="Z16" s="2" t="s">
        <v>106</v>
      </c>
      <c r="AA16" s="23">
        <v>62</v>
      </c>
      <c r="AB16" s="23">
        <v>34</v>
      </c>
      <c r="AC16" s="24">
        <v>0.54838709677419295</v>
      </c>
      <c r="AD16" s="14" t="str">
        <f>VLOOKUP(flu_eth_ep[[#This Row],[trust_code]],trust_lookup[],3,0)</f>
        <v>CNWL</v>
      </c>
      <c r="AE16" s="14" t="str">
        <f>VLOOKUP(flu_eth_ep[[#This Row],[trust_code]],trust_lookup[],4,0)</f>
        <v>Mental Health &amp; Community</v>
      </c>
      <c r="AG16" s="32" t="s">
        <v>101</v>
      </c>
      <c r="AH16" s="5" t="s">
        <v>102</v>
      </c>
      <c r="AI16" s="33" t="s">
        <v>103</v>
      </c>
      <c r="AJ16" s="2" t="s">
        <v>620</v>
      </c>
      <c r="AM16" s="2" t="s">
        <v>103</v>
      </c>
    </row>
    <row r="17" spans="2:39" x14ac:dyDescent="0.35">
      <c r="B17" s="2" t="s">
        <v>104</v>
      </c>
      <c r="C17" s="2" t="s">
        <v>105</v>
      </c>
      <c r="D17" s="2" t="s">
        <v>23</v>
      </c>
      <c r="E17" s="2" t="s">
        <v>24</v>
      </c>
      <c r="F17" s="23">
        <v>5723</v>
      </c>
      <c r="G17" s="23">
        <v>1620</v>
      </c>
      <c r="H17" s="24">
        <v>0.283068320810763</v>
      </c>
      <c r="I17" s="24">
        <v>0.28550787300000002</v>
      </c>
      <c r="J17" s="58">
        <v>1499</v>
      </c>
      <c r="K17" s="58">
        <v>516</v>
      </c>
      <c r="L17" s="24">
        <v>0.34422948632421602</v>
      </c>
      <c r="N17" s="2" t="s">
        <v>83</v>
      </c>
      <c r="O17" s="2" t="s">
        <v>84</v>
      </c>
      <c r="P17" s="2" t="s">
        <v>27</v>
      </c>
      <c r="Q17" s="2" t="s">
        <v>60</v>
      </c>
      <c r="R17" s="23">
        <v>263</v>
      </c>
      <c r="S17" s="23">
        <v>167</v>
      </c>
      <c r="T17" s="24">
        <v>0.63498098859315499</v>
      </c>
      <c r="U17" s="14" t="str">
        <f>VLOOKUP(flu_staff[[#This Row],[trust_code]],trust_lookup[],3,0)</f>
        <v>GOSH</v>
      </c>
      <c r="W17" s="2" t="s">
        <v>25</v>
      </c>
      <c r="X17" s="2" t="s">
        <v>26</v>
      </c>
      <c r="Y17" s="2" t="s">
        <v>27</v>
      </c>
      <c r="Z17" s="2" t="s">
        <v>112</v>
      </c>
      <c r="AA17" s="23">
        <v>284</v>
      </c>
      <c r="AB17" s="23">
        <v>96</v>
      </c>
      <c r="AC17" s="24">
        <v>0.338028169014084</v>
      </c>
      <c r="AD17" s="14" t="str">
        <f>VLOOKUP(flu_eth_ep[[#This Row],[trust_code]],trust_lookup[],3,0)</f>
        <v>CNWL</v>
      </c>
      <c r="AE17" s="14" t="str">
        <f>VLOOKUP(flu_eth_ep[[#This Row],[trust_code]],trust_lookup[],4,0)</f>
        <v>Mental Health &amp; Community</v>
      </c>
      <c r="AG17" s="32" t="s">
        <v>107</v>
      </c>
      <c r="AH17" s="5" t="s">
        <v>108</v>
      </c>
      <c r="AI17" s="33" t="s">
        <v>109</v>
      </c>
      <c r="AJ17" s="2" t="s">
        <v>620</v>
      </c>
      <c r="AM17" s="2" t="s">
        <v>109</v>
      </c>
    </row>
    <row r="18" spans="2:39" x14ac:dyDescent="0.35">
      <c r="B18" s="2" t="s">
        <v>110</v>
      </c>
      <c r="C18" s="2" t="s">
        <v>111</v>
      </c>
      <c r="D18" s="2" t="s">
        <v>23</v>
      </c>
      <c r="E18" s="2" t="s">
        <v>24</v>
      </c>
      <c r="F18" s="23">
        <v>14948</v>
      </c>
      <c r="G18" s="23">
        <v>5117</v>
      </c>
      <c r="H18" s="24">
        <v>0.34232004281509198</v>
      </c>
      <c r="I18" s="24">
        <v>0.18634044999999999</v>
      </c>
      <c r="J18" s="58">
        <v>4189</v>
      </c>
      <c r="K18" s="58">
        <v>1644</v>
      </c>
      <c r="L18" s="24">
        <v>0.39245643351635201</v>
      </c>
      <c r="N18" s="2" t="s">
        <v>83</v>
      </c>
      <c r="O18" s="2" t="s">
        <v>84</v>
      </c>
      <c r="P18" s="2" t="s">
        <v>27</v>
      </c>
      <c r="Q18" s="2" t="s">
        <v>74</v>
      </c>
      <c r="R18" s="23">
        <v>174</v>
      </c>
      <c r="S18" s="23">
        <v>110</v>
      </c>
      <c r="T18" s="24">
        <v>0.63218390804597702</v>
      </c>
      <c r="U18" s="14" t="str">
        <f>VLOOKUP(flu_staff[[#This Row],[trust_code]],trust_lookup[],3,0)</f>
        <v>GOSH</v>
      </c>
      <c r="W18" s="2" t="s">
        <v>25</v>
      </c>
      <c r="X18" s="2" t="s">
        <v>26</v>
      </c>
      <c r="Y18" s="2" t="s">
        <v>27</v>
      </c>
      <c r="Z18" s="2" t="s">
        <v>36</v>
      </c>
      <c r="AA18" s="23">
        <v>345</v>
      </c>
      <c r="AB18" s="23">
        <v>95</v>
      </c>
      <c r="AC18" s="24">
        <v>0.27536231884057899</v>
      </c>
      <c r="AD18" s="14" t="str">
        <f>VLOOKUP(flu_eth_ep[[#This Row],[trust_code]],trust_lookup[],3,0)</f>
        <v>CNWL</v>
      </c>
      <c r="AE18" s="14" t="str">
        <f>VLOOKUP(flu_eth_ep[[#This Row],[trust_code]],trust_lookup[],4,0)</f>
        <v>Mental Health &amp; Community</v>
      </c>
      <c r="AG18" s="32" t="s">
        <v>113</v>
      </c>
      <c r="AH18" s="5" t="s">
        <v>114</v>
      </c>
      <c r="AI18" s="33" t="s">
        <v>115</v>
      </c>
      <c r="AJ18" s="2" t="s">
        <v>623</v>
      </c>
      <c r="AM18" s="2" t="s">
        <v>115</v>
      </c>
    </row>
    <row r="19" spans="2:39" x14ac:dyDescent="0.35">
      <c r="B19" s="2" t="s">
        <v>116</v>
      </c>
      <c r="C19" s="2" t="s">
        <v>117</v>
      </c>
      <c r="D19" s="2" t="s">
        <v>23</v>
      </c>
      <c r="E19" s="2" t="s">
        <v>24</v>
      </c>
      <c r="F19" s="23">
        <v>3651</v>
      </c>
      <c r="G19" s="23">
        <v>1862</v>
      </c>
      <c r="H19" s="24">
        <v>0.50999726102437604</v>
      </c>
      <c r="I19" s="24">
        <v>0.51385372699999998</v>
      </c>
      <c r="J19" s="58">
        <v>870</v>
      </c>
      <c r="K19" s="58">
        <v>457</v>
      </c>
      <c r="L19" s="24">
        <v>0.52528735632183898</v>
      </c>
      <c r="N19" s="2" t="s">
        <v>83</v>
      </c>
      <c r="O19" s="2" t="s">
        <v>84</v>
      </c>
      <c r="P19" s="2" t="s">
        <v>27</v>
      </c>
      <c r="Q19" s="2" t="s">
        <v>35</v>
      </c>
      <c r="R19" s="23">
        <v>1</v>
      </c>
      <c r="S19" s="23">
        <v>0</v>
      </c>
      <c r="T19" s="24">
        <v>0</v>
      </c>
      <c r="U19" s="14" t="str">
        <f>VLOOKUP(flu_staff[[#This Row],[trust_code]],trust_lookup[],3,0)</f>
        <v>GOSH</v>
      </c>
      <c r="W19" s="2" t="s">
        <v>25</v>
      </c>
      <c r="X19" s="2" t="s">
        <v>26</v>
      </c>
      <c r="Y19" s="2" t="s">
        <v>27</v>
      </c>
      <c r="Z19" s="2" t="s">
        <v>123</v>
      </c>
      <c r="AA19" s="23">
        <v>472</v>
      </c>
      <c r="AB19" s="23">
        <v>170</v>
      </c>
      <c r="AC19" s="24">
        <v>0.36016949152542299</v>
      </c>
      <c r="AD19" s="14" t="str">
        <f>VLOOKUP(flu_eth_ep[[#This Row],[trust_code]],trust_lookup[],3,0)</f>
        <v>CNWL</v>
      </c>
      <c r="AE19" s="14" t="str">
        <f>VLOOKUP(flu_eth_ep[[#This Row],[trust_code]],trust_lookup[],4,0)</f>
        <v>Mental Health &amp; Community</v>
      </c>
      <c r="AG19" s="32" t="s">
        <v>118</v>
      </c>
      <c r="AH19" s="5" t="s">
        <v>119</v>
      </c>
      <c r="AI19" s="33" t="s">
        <v>120</v>
      </c>
      <c r="AJ19" s="2" t="s">
        <v>620</v>
      </c>
      <c r="AM19" s="2" t="s">
        <v>120</v>
      </c>
    </row>
    <row r="20" spans="2:39" x14ac:dyDescent="0.35">
      <c r="B20" s="2" t="s">
        <v>121</v>
      </c>
      <c r="C20" s="2" t="s">
        <v>122</v>
      </c>
      <c r="D20" s="2" t="s">
        <v>23</v>
      </c>
      <c r="E20" s="2" t="s">
        <v>24</v>
      </c>
      <c r="F20" s="23">
        <v>7232</v>
      </c>
      <c r="G20" s="23">
        <v>4554</v>
      </c>
      <c r="H20" s="24">
        <v>0.62970132743362806</v>
      </c>
      <c r="I20" s="24">
        <v>0.58817000500000005</v>
      </c>
      <c r="J20" s="58">
        <v>1768</v>
      </c>
      <c r="K20" s="58">
        <v>1168</v>
      </c>
      <c r="L20" s="24">
        <v>0.66063348416289502</v>
      </c>
      <c r="N20" s="2" t="s">
        <v>83</v>
      </c>
      <c r="O20" s="2" t="s">
        <v>84</v>
      </c>
      <c r="P20" s="2" t="s">
        <v>27</v>
      </c>
      <c r="Q20" s="2" t="s">
        <v>42</v>
      </c>
      <c r="R20" s="23">
        <v>925</v>
      </c>
      <c r="S20" s="23">
        <v>591</v>
      </c>
      <c r="T20" s="24">
        <v>0.63891891891891806</v>
      </c>
      <c r="U20" s="14" t="str">
        <f>VLOOKUP(flu_staff[[#This Row],[trust_code]],trust_lookup[],3,0)</f>
        <v>GOSH</v>
      </c>
      <c r="W20" s="2" t="s">
        <v>25</v>
      </c>
      <c r="X20" s="2" t="s">
        <v>26</v>
      </c>
      <c r="Y20" s="2" t="s">
        <v>27</v>
      </c>
      <c r="Z20" s="2" t="s">
        <v>129</v>
      </c>
      <c r="AA20" s="23">
        <v>53</v>
      </c>
      <c r="AB20" s="23">
        <v>13</v>
      </c>
      <c r="AC20" s="24">
        <v>0.245283018867924</v>
      </c>
      <c r="AD20" s="14" t="str">
        <f>VLOOKUP(flu_eth_ep[[#This Row],[trust_code]],trust_lookup[],3,0)</f>
        <v>CNWL</v>
      </c>
      <c r="AE20" s="14" t="str">
        <f>VLOOKUP(flu_eth_ep[[#This Row],[trust_code]],trust_lookup[],4,0)</f>
        <v>Mental Health &amp; Community</v>
      </c>
      <c r="AG20" s="32" t="s">
        <v>124</v>
      </c>
      <c r="AH20" s="5" t="s">
        <v>125</v>
      </c>
      <c r="AI20" s="33" t="s">
        <v>126</v>
      </c>
      <c r="AJ20" s="2" t="s">
        <v>624</v>
      </c>
      <c r="AM20" s="2" t="s">
        <v>126</v>
      </c>
    </row>
    <row r="21" spans="2:39" x14ac:dyDescent="0.35">
      <c r="B21" s="2" t="s">
        <v>127</v>
      </c>
      <c r="C21" s="2" t="s">
        <v>128</v>
      </c>
      <c r="D21" s="2" t="s">
        <v>23</v>
      </c>
      <c r="E21" s="2" t="s">
        <v>24</v>
      </c>
      <c r="F21" s="23">
        <v>3366</v>
      </c>
      <c r="G21" s="23">
        <v>1807</v>
      </c>
      <c r="H21" s="24">
        <v>0.536838978015448</v>
      </c>
      <c r="I21" s="24">
        <v>0.52795893699999996</v>
      </c>
      <c r="J21" s="58">
        <v>1211</v>
      </c>
      <c r="K21" s="58">
        <v>741</v>
      </c>
      <c r="L21" s="24">
        <v>0.61189099917423595</v>
      </c>
      <c r="N21" s="2" t="s">
        <v>83</v>
      </c>
      <c r="O21" s="2" t="s">
        <v>84</v>
      </c>
      <c r="P21" s="2" t="s">
        <v>27</v>
      </c>
      <c r="Q21" s="2" t="s">
        <v>46</v>
      </c>
      <c r="R21" s="23">
        <v>2</v>
      </c>
      <c r="S21" s="23">
        <v>0</v>
      </c>
      <c r="T21" s="24">
        <v>0</v>
      </c>
      <c r="U21" s="14" t="str">
        <f>VLOOKUP(flu_staff[[#This Row],[trust_code]],trust_lookup[],3,0)</f>
        <v>GOSH</v>
      </c>
      <c r="W21" s="2" t="s">
        <v>25</v>
      </c>
      <c r="X21" s="2" t="s">
        <v>26</v>
      </c>
      <c r="Y21" s="2" t="s">
        <v>27</v>
      </c>
      <c r="Z21" s="2" t="s">
        <v>135</v>
      </c>
      <c r="AA21" s="23">
        <v>101</v>
      </c>
      <c r="AB21" s="23">
        <v>44</v>
      </c>
      <c r="AC21" s="24">
        <v>0.43564356435643498</v>
      </c>
      <c r="AD21" s="14" t="str">
        <f>VLOOKUP(flu_eth_ep[[#This Row],[trust_code]],trust_lookup[],3,0)</f>
        <v>CNWL</v>
      </c>
      <c r="AE21" s="14" t="str">
        <f>VLOOKUP(flu_eth_ep[[#This Row],[trust_code]],trust_lookup[],4,0)</f>
        <v>Mental Health &amp; Community</v>
      </c>
      <c r="AG21" s="32" t="s">
        <v>130</v>
      </c>
      <c r="AH21" s="5" t="s">
        <v>131</v>
      </c>
      <c r="AI21" s="33" t="s">
        <v>132</v>
      </c>
      <c r="AJ21" s="2" t="s">
        <v>620</v>
      </c>
      <c r="AM21" s="2" t="s">
        <v>132</v>
      </c>
    </row>
    <row r="22" spans="2:39" x14ac:dyDescent="0.35">
      <c r="B22" s="2" t="s">
        <v>133</v>
      </c>
      <c r="C22" s="2" t="s">
        <v>134</v>
      </c>
      <c r="D22" s="2" t="s">
        <v>23</v>
      </c>
      <c r="E22" s="2" t="s">
        <v>24</v>
      </c>
      <c r="F22" s="23">
        <v>2054</v>
      </c>
      <c r="G22" s="23">
        <v>1237</v>
      </c>
      <c r="H22" s="24">
        <v>0.60223953261927898</v>
      </c>
      <c r="I22" s="24">
        <v>0.54504459900000002</v>
      </c>
      <c r="J22" s="58">
        <v>513</v>
      </c>
      <c r="K22" s="58">
        <v>329</v>
      </c>
      <c r="L22" s="24">
        <v>0.64132553606237797</v>
      </c>
      <c r="N22" s="2" t="s">
        <v>83</v>
      </c>
      <c r="O22" s="2" t="s">
        <v>84</v>
      </c>
      <c r="P22" s="2" t="s">
        <v>27</v>
      </c>
      <c r="Q22" s="2" t="s">
        <v>81</v>
      </c>
      <c r="R22" s="23">
        <v>475</v>
      </c>
      <c r="S22" s="23">
        <v>207</v>
      </c>
      <c r="T22" s="24">
        <v>0.43578947368421</v>
      </c>
      <c r="U22" s="14" t="str">
        <f>VLOOKUP(flu_staff[[#This Row],[trust_code]],trust_lookup[],3,0)</f>
        <v>GOSH</v>
      </c>
      <c r="W22" s="2" t="s">
        <v>25</v>
      </c>
      <c r="X22" s="2" t="s">
        <v>26</v>
      </c>
      <c r="Y22" s="2" t="s">
        <v>27</v>
      </c>
      <c r="Z22" s="2" t="s">
        <v>141</v>
      </c>
      <c r="AA22" s="23">
        <v>345</v>
      </c>
      <c r="AB22" s="23">
        <v>123</v>
      </c>
      <c r="AC22" s="24">
        <v>0.356521739130434</v>
      </c>
      <c r="AD22" s="14" t="str">
        <f>VLOOKUP(flu_eth_ep[[#This Row],[trust_code]],trust_lookup[],3,0)</f>
        <v>CNWL</v>
      </c>
      <c r="AE22" s="14" t="str">
        <f>VLOOKUP(flu_eth_ep[[#This Row],[trust_code]],trust_lookup[],4,0)</f>
        <v>Mental Health &amp; Community</v>
      </c>
      <c r="AG22" s="32" t="s">
        <v>136</v>
      </c>
      <c r="AH22" s="5" t="s">
        <v>137</v>
      </c>
      <c r="AI22" s="33" t="s">
        <v>138</v>
      </c>
      <c r="AJ22" s="2" t="s">
        <v>627</v>
      </c>
      <c r="AM22" s="2" t="s">
        <v>138</v>
      </c>
    </row>
    <row r="23" spans="2:39" x14ac:dyDescent="0.35">
      <c r="B23" s="2" t="s">
        <v>139</v>
      </c>
      <c r="C23" s="2" t="s">
        <v>140</v>
      </c>
      <c r="D23" s="2" t="s">
        <v>23</v>
      </c>
      <c r="E23" s="2" t="s">
        <v>24</v>
      </c>
      <c r="F23" s="23">
        <v>3254</v>
      </c>
      <c r="G23" s="23">
        <v>1637</v>
      </c>
      <c r="H23" s="24">
        <v>0.50307314074984599</v>
      </c>
      <c r="I23" s="24">
        <v>0.41375158400000001</v>
      </c>
      <c r="J23" s="58">
        <v>785</v>
      </c>
      <c r="K23" s="58">
        <v>458</v>
      </c>
      <c r="L23" s="24">
        <v>0.58343949044585897</v>
      </c>
      <c r="N23" s="2" t="s">
        <v>136</v>
      </c>
      <c r="O23" s="2" t="s">
        <v>137</v>
      </c>
      <c r="P23" s="2" t="s">
        <v>27</v>
      </c>
      <c r="Q23" s="2" t="s">
        <v>53</v>
      </c>
      <c r="R23" s="23">
        <v>443</v>
      </c>
      <c r="S23" s="23">
        <v>244</v>
      </c>
      <c r="T23" s="24">
        <v>0.55079006772008998</v>
      </c>
      <c r="U23" s="14" t="str">
        <f>VLOOKUP(flu_staff[[#This Row],[trust_code]],trust_lookup[],3,0)</f>
        <v>Moorfields</v>
      </c>
      <c r="W23" s="2" t="s">
        <v>83</v>
      </c>
      <c r="X23" s="2" t="s">
        <v>84</v>
      </c>
      <c r="Y23" s="2" t="s">
        <v>27</v>
      </c>
      <c r="Z23" s="2" t="s">
        <v>82</v>
      </c>
      <c r="AA23" s="23">
        <v>76</v>
      </c>
      <c r="AB23" s="23">
        <v>27</v>
      </c>
      <c r="AC23" s="24">
        <v>0.355263157894736</v>
      </c>
      <c r="AD23" s="14" t="str">
        <f>VLOOKUP(flu_eth_ep[[#This Row],[trust_code]],trust_lookup[],3,0)</f>
        <v>GOSH</v>
      </c>
      <c r="AE23" s="14" t="str">
        <f>VLOOKUP(flu_eth_ep[[#This Row],[trust_code]],trust_lookup[],4,0)</f>
        <v>Specialist</v>
      </c>
      <c r="AG23" s="32" t="s">
        <v>142</v>
      </c>
      <c r="AH23" s="5" t="s">
        <v>143</v>
      </c>
      <c r="AI23" s="33" t="s">
        <v>144</v>
      </c>
      <c r="AJ23" s="2" t="s">
        <v>621</v>
      </c>
      <c r="AM23" s="2" t="s">
        <v>144</v>
      </c>
    </row>
    <row r="24" spans="2:39" x14ac:dyDescent="0.35">
      <c r="B24" s="2" t="s">
        <v>145</v>
      </c>
      <c r="C24" s="2" t="s">
        <v>146</v>
      </c>
      <c r="D24" s="2" t="s">
        <v>23</v>
      </c>
      <c r="E24" s="2" t="s">
        <v>24</v>
      </c>
      <c r="F24" s="23">
        <v>3848</v>
      </c>
      <c r="G24" s="23">
        <v>1887</v>
      </c>
      <c r="H24" s="24">
        <v>0.49038461538461497</v>
      </c>
      <c r="I24" s="24">
        <v>0.48217912000000002</v>
      </c>
      <c r="J24" s="58">
        <v>1957</v>
      </c>
      <c r="K24" s="58">
        <v>943</v>
      </c>
      <c r="L24" s="24">
        <v>0.481859989780275</v>
      </c>
      <c r="N24" s="2" t="s">
        <v>136</v>
      </c>
      <c r="O24" s="2" t="s">
        <v>137</v>
      </c>
      <c r="P24" s="2" t="s">
        <v>27</v>
      </c>
      <c r="Q24" s="2" t="s">
        <v>74</v>
      </c>
      <c r="R24" s="23">
        <v>58</v>
      </c>
      <c r="S24" s="23">
        <v>25</v>
      </c>
      <c r="T24" s="24">
        <v>0.43103448275862</v>
      </c>
      <c r="U24" s="14" t="str">
        <f>VLOOKUP(flu_staff[[#This Row],[trust_code]],trust_lookup[],3,0)</f>
        <v>Moorfields</v>
      </c>
      <c r="W24" s="2" t="s">
        <v>83</v>
      </c>
      <c r="X24" s="2" t="s">
        <v>84</v>
      </c>
      <c r="Y24" s="2" t="s">
        <v>27</v>
      </c>
      <c r="Z24" s="2" t="s">
        <v>88</v>
      </c>
      <c r="AA24" s="23">
        <v>93</v>
      </c>
      <c r="AB24" s="23">
        <v>28</v>
      </c>
      <c r="AC24" s="24">
        <v>0.30107526881720398</v>
      </c>
      <c r="AD24" s="14" t="str">
        <f>VLOOKUP(flu_eth_ep[[#This Row],[trust_code]],trust_lookup[],3,0)</f>
        <v>GOSH</v>
      </c>
      <c r="AE24" s="14" t="str">
        <f>VLOOKUP(flu_eth_ep[[#This Row],[trust_code]],trust_lookup[],4,0)</f>
        <v>Specialist</v>
      </c>
      <c r="AG24" s="32" t="s">
        <v>147</v>
      </c>
      <c r="AH24" s="5" t="s">
        <v>148</v>
      </c>
      <c r="AI24" s="33" t="s">
        <v>149</v>
      </c>
      <c r="AJ24" s="2" t="s">
        <v>625</v>
      </c>
      <c r="AM24" s="2" t="s">
        <v>149</v>
      </c>
    </row>
    <row r="25" spans="2:39" x14ac:dyDescent="0.35">
      <c r="B25" s="2" t="s">
        <v>150</v>
      </c>
      <c r="C25" s="2" t="s">
        <v>151</v>
      </c>
      <c r="D25" s="2" t="s">
        <v>23</v>
      </c>
      <c r="E25" s="2" t="s">
        <v>24</v>
      </c>
      <c r="F25" s="23">
        <v>8590</v>
      </c>
      <c r="G25" s="23">
        <v>3983</v>
      </c>
      <c r="H25" s="24">
        <v>0.46367869615832302</v>
      </c>
      <c r="I25" s="24">
        <v>0.46751348599999998</v>
      </c>
      <c r="J25" s="58">
        <v>2032</v>
      </c>
      <c r="K25" s="58">
        <v>968</v>
      </c>
      <c r="L25" s="24">
        <v>0.476377952755905</v>
      </c>
      <c r="N25" s="2" t="s">
        <v>136</v>
      </c>
      <c r="O25" s="2" t="s">
        <v>137</v>
      </c>
      <c r="P25" s="2" t="s">
        <v>27</v>
      </c>
      <c r="Q25" s="2" t="s">
        <v>60</v>
      </c>
      <c r="R25" s="23">
        <v>54</v>
      </c>
      <c r="S25" s="23">
        <v>31</v>
      </c>
      <c r="T25" s="24">
        <v>0.57407407407407396</v>
      </c>
      <c r="U25" s="14" t="str">
        <f>VLOOKUP(flu_staff[[#This Row],[trust_code]],trust_lookup[],3,0)</f>
        <v>Moorfields</v>
      </c>
      <c r="W25" s="2" t="s">
        <v>83</v>
      </c>
      <c r="X25" s="2" t="s">
        <v>84</v>
      </c>
      <c r="Y25" s="2" t="s">
        <v>27</v>
      </c>
      <c r="Z25" s="2" t="s">
        <v>68</v>
      </c>
      <c r="AA25" s="23">
        <v>1550</v>
      </c>
      <c r="AB25" s="23">
        <v>1041</v>
      </c>
      <c r="AC25" s="24">
        <v>0.67161290322580602</v>
      </c>
      <c r="AD25" s="14" t="str">
        <f>VLOOKUP(flu_eth_ep[[#This Row],[trust_code]],trust_lookup[],3,0)</f>
        <v>GOSH</v>
      </c>
      <c r="AE25" s="14" t="str">
        <f>VLOOKUP(flu_eth_ep[[#This Row],[trust_code]],trust_lookup[],4,0)</f>
        <v>Specialist</v>
      </c>
      <c r="AG25" s="32" t="s">
        <v>152</v>
      </c>
      <c r="AH25" s="5" t="s">
        <v>153</v>
      </c>
      <c r="AI25" s="33" t="s">
        <v>154</v>
      </c>
      <c r="AJ25" s="2" t="s">
        <v>621</v>
      </c>
      <c r="AM25" s="2" t="s">
        <v>154</v>
      </c>
    </row>
    <row r="26" spans="2:39" x14ac:dyDescent="0.35">
      <c r="B26" s="2" t="s">
        <v>155</v>
      </c>
      <c r="C26" s="2" t="s">
        <v>156</v>
      </c>
      <c r="D26" s="2" t="s">
        <v>23</v>
      </c>
      <c r="E26" s="2" t="s">
        <v>24</v>
      </c>
      <c r="F26" s="23">
        <v>3920</v>
      </c>
      <c r="G26" s="23">
        <v>2108</v>
      </c>
      <c r="H26" s="24">
        <v>0.537755102040816</v>
      </c>
      <c r="I26" s="24">
        <v>0.52141041899999996</v>
      </c>
      <c r="J26" s="58">
        <v>994</v>
      </c>
      <c r="K26" s="58">
        <v>571</v>
      </c>
      <c r="L26" s="24">
        <v>0.57444668008048205</v>
      </c>
      <c r="N26" s="2" t="s">
        <v>136</v>
      </c>
      <c r="O26" s="2" t="s">
        <v>137</v>
      </c>
      <c r="P26" s="2" t="s">
        <v>27</v>
      </c>
      <c r="Q26" s="2" t="s">
        <v>46</v>
      </c>
      <c r="R26" s="23">
        <v>163</v>
      </c>
      <c r="S26" s="23">
        <v>48</v>
      </c>
      <c r="T26" s="24">
        <v>0.29447852760736198</v>
      </c>
      <c r="U26" s="14" t="str">
        <f>VLOOKUP(flu_staff[[#This Row],[trust_code]],trust_lookup[],3,0)</f>
        <v>Moorfields</v>
      </c>
      <c r="W26" s="2" t="s">
        <v>83</v>
      </c>
      <c r="X26" s="2" t="s">
        <v>84</v>
      </c>
      <c r="Y26" s="2" t="s">
        <v>27</v>
      </c>
      <c r="Z26" s="2" t="s">
        <v>61</v>
      </c>
      <c r="AA26" s="23">
        <v>60</v>
      </c>
      <c r="AB26" s="23">
        <v>14</v>
      </c>
      <c r="AC26" s="24">
        <v>0.233333333333333</v>
      </c>
      <c r="AD26" s="14" t="str">
        <f>VLOOKUP(flu_eth_ep[[#This Row],[trust_code]],trust_lookup[],3,0)</f>
        <v>GOSH</v>
      </c>
      <c r="AE26" s="14" t="str">
        <f>VLOOKUP(flu_eth_ep[[#This Row],[trust_code]],trust_lookup[],4,0)</f>
        <v>Specialist</v>
      </c>
      <c r="AG26" s="32" t="s">
        <v>157</v>
      </c>
      <c r="AH26" s="5" t="s">
        <v>158</v>
      </c>
      <c r="AI26" s="33" t="s">
        <v>159</v>
      </c>
      <c r="AJ26" s="2" t="s">
        <v>620</v>
      </c>
      <c r="AM26" s="2" t="s">
        <v>159</v>
      </c>
    </row>
    <row r="27" spans="2:39" x14ac:dyDescent="0.35">
      <c r="B27" s="2" t="s">
        <v>25</v>
      </c>
      <c r="C27" s="2" t="s">
        <v>26</v>
      </c>
      <c r="D27" s="2" t="s">
        <v>160</v>
      </c>
      <c r="E27" s="2" t="s">
        <v>27</v>
      </c>
      <c r="F27" s="23">
        <v>5880</v>
      </c>
      <c r="G27" s="23">
        <v>2008</v>
      </c>
      <c r="H27" s="24">
        <v>0.34149659863945497</v>
      </c>
      <c r="I27" s="24">
        <v>0.34768177</v>
      </c>
      <c r="J27" s="58">
        <v>2305</v>
      </c>
      <c r="K27" s="58">
        <v>945</v>
      </c>
      <c r="L27" s="24">
        <v>0.40997830802603002</v>
      </c>
      <c r="N27" s="2" t="s">
        <v>136</v>
      </c>
      <c r="O27" s="2" t="s">
        <v>137</v>
      </c>
      <c r="P27" s="2" t="s">
        <v>27</v>
      </c>
      <c r="Q27" s="2" t="s">
        <v>81</v>
      </c>
      <c r="R27" s="23">
        <v>327</v>
      </c>
      <c r="S27" s="23">
        <v>149</v>
      </c>
      <c r="T27" s="24">
        <v>0.45565749235474001</v>
      </c>
      <c r="U27" s="14" t="str">
        <f>VLOOKUP(flu_staff[[#This Row],[trust_code]],trust_lookup[],3,0)</f>
        <v>Moorfields</v>
      </c>
      <c r="W27" s="2" t="s">
        <v>83</v>
      </c>
      <c r="X27" s="2" t="s">
        <v>84</v>
      </c>
      <c r="Y27" s="2" t="s">
        <v>27</v>
      </c>
      <c r="Z27" s="2" t="s">
        <v>36</v>
      </c>
      <c r="AA27" s="23">
        <v>8</v>
      </c>
      <c r="AB27" s="23">
        <v>4</v>
      </c>
      <c r="AC27" s="24">
        <v>0.5</v>
      </c>
      <c r="AD27" s="14" t="str">
        <f>VLOOKUP(flu_eth_ep[[#This Row],[trust_code]],trust_lookup[],3,0)</f>
        <v>GOSH</v>
      </c>
      <c r="AE27" s="14" t="str">
        <f>VLOOKUP(flu_eth_ep[[#This Row],[trust_code]],trust_lookup[],4,0)</f>
        <v>Specialist</v>
      </c>
      <c r="AG27" s="32" t="s">
        <v>161</v>
      </c>
      <c r="AH27" s="5" t="s">
        <v>162</v>
      </c>
      <c r="AI27" s="33" t="s">
        <v>163</v>
      </c>
      <c r="AJ27" s="2" t="s">
        <v>627</v>
      </c>
      <c r="AM27" s="2" t="s">
        <v>163</v>
      </c>
    </row>
    <row r="28" spans="2:39" x14ac:dyDescent="0.35">
      <c r="B28" s="2" t="s">
        <v>83</v>
      </c>
      <c r="C28" s="2" t="s">
        <v>84</v>
      </c>
      <c r="D28" s="2" t="s">
        <v>160</v>
      </c>
      <c r="E28" s="2" t="s">
        <v>27</v>
      </c>
      <c r="F28" s="23">
        <v>3938</v>
      </c>
      <c r="G28" s="23">
        <v>2216</v>
      </c>
      <c r="H28" s="24">
        <v>0.56272219400710999</v>
      </c>
      <c r="I28" s="24">
        <v>0.50961783400000005</v>
      </c>
      <c r="J28" s="58">
        <v>1789</v>
      </c>
      <c r="K28" s="58">
        <v>807</v>
      </c>
      <c r="L28" s="24">
        <v>0.45108999441028502</v>
      </c>
      <c r="N28" s="2" t="s">
        <v>136</v>
      </c>
      <c r="O28" s="2" t="s">
        <v>137</v>
      </c>
      <c r="P28" s="2" t="s">
        <v>27</v>
      </c>
      <c r="Q28" s="2" t="s">
        <v>28</v>
      </c>
      <c r="R28" s="23">
        <v>22</v>
      </c>
      <c r="S28" s="23">
        <v>7</v>
      </c>
      <c r="T28" s="24">
        <v>0.31818181818181801</v>
      </c>
      <c r="U28" s="14" t="str">
        <f>VLOOKUP(flu_staff[[#This Row],[trust_code]],trust_lookup[],3,0)</f>
        <v>Moorfields</v>
      </c>
      <c r="W28" s="2" t="s">
        <v>83</v>
      </c>
      <c r="X28" s="2" t="s">
        <v>84</v>
      </c>
      <c r="Y28" s="2" t="s">
        <v>27</v>
      </c>
      <c r="Z28" s="2" t="s">
        <v>106</v>
      </c>
      <c r="AA28" s="23">
        <v>55</v>
      </c>
      <c r="AB28" s="23">
        <v>31</v>
      </c>
      <c r="AC28" s="24">
        <v>0.56363636363636305</v>
      </c>
      <c r="AD28" s="14" t="str">
        <f>VLOOKUP(flu_eth_ep[[#This Row],[trust_code]],trust_lookup[],3,0)</f>
        <v>GOSH</v>
      </c>
      <c r="AE28" s="14" t="str">
        <f>VLOOKUP(flu_eth_ep[[#This Row],[trust_code]],trust_lookup[],4,0)</f>
        <v>Specialist</v>
      </c>
      <c r="AG28" s="32" t="s">
        <v>164</v>
      </c>
      <c r="AH28" s="5" t="s">
        <v>165</v>
      </c>
      <c r="AI28" s="33" t="s">
        <v>166</v>
      </c>
      <c r="AJ28" s="2" t="s">
        <v>625</v>
      </c>
      <c r="AM28" s="2" t="s">
        <v>166</v>
      </c>
    </row>
    <row r="29" spans="2:39" x14ac:dyDescent="0.35">
      <c r="B29" s="2" t="s">
        <v>136</v>
      </c>
      <c r="C29" s="2" t="s">
        <v>137</v>
      </c>
      <c r="D29" s="2" t="s">
        <v>160</v>
      </c>
      <c r="E29" s="2" t="s">
        <v>27</v>
      </c>
      <c r="F29" s="23">
        <v>1777</v>
      </c>
      <c r="G29" s="23">
        <v>904</v>
      </c>
      <c r="H29" s="24">
        <v>0.50872256612267797</v>
      </c>
      <c r="I29" s="24">
        <v>0.52152480099999998</v>
      </c>
      <c r="J29" s="58">
        <v>1357</v>
      </c>
      <c r="K29" s="58">
        <v>448</v>
      </c>
      <c r="L29" s="24">
        <v>0.330140014738393</v>
      </c>
      <c r="N29" s="2" t="s">
        <v>136</v>
      </c>
      <c r="O29" s="2" t="s">
        <v>137</v>
      </c>
      <c r="P29" s="2" t="s">
        <v>27</v>
      </c>
      <c r="Q29" s="2" t="s">
        <v>35</v>
      </c>
      <c r="R29" s="23">
        <v>10</v>
      </c>
      <c r="S29" s="23">
        <v>3</v>
      </c>
      <c r="T29" s="24">
        <v>0.3</v>
      </c>
      <c r="U29" s="14" t="str">
        <f>VLOOKUP(flu_staff[[#This Row],[trust_code]],trust_lookup[],3,0)</f>
        <v>Moorfields</v>
      </c>
      <c r="W29" s="2" t="s">
        <v>83</v>
      </c>
      <c r="X29" s="2" t="s">
        <v>84</v>
      </c>
      <c r="Y29" s="2" t="s">
        <v>27</v>
      </c>
      <c r="Z29" s="2" t="s">
        <v>29</v>
      </c>
      <c r="AA29" s="23">
        <v>60</v>
      </c>
      <c r="AB29" s="23">
        <v>26</v>
      </c>
      <c r="AC29" s="24">
        <v>0.43333333333333302</v>
      </c>
      <c r="AD29" s="14" t="str">
        <f>VLOOKUP(flu_eth_ep[[#This Row],[trust_code]],trust_lookup[],3,0)</f>
        <v>GOSH</v>
      </c>
      <c r="AE29" s="14" t="str">
        <f>VLOOKUP(flu_eth_ep[[#This Row],[trust_code]],trust_lookup[],4,0)</f>
        <v>Specialist</v>
      </c>
      <c r="AG29" s="32" t="s">
        <v>167</v>
      </c>
      <c r="AH29" s="5" t="s">
        <v>168</v>
      </c>
      <c r="AI29" s="33" t="s">
        <v>169</v>
      </c>
      <c r="AJ29" s="2" t="s">
        <v>625</v>
      </c>
      <c r="AM29" s="2" t="s">
        <v>169</v>
      </c>
    </row>
    <row r="30" spans="2:39" x14ac:dyDescent="0.35">
      <c r="B30" s="2" t="s">
        <v>147</v>
      </c>
      <c r="C30" s="2" t="s">
        <v>148</v>
      </c>
      <c r="D30" s="2" t="s">
        <v>160</v>
      </c>
      <c r="E30" s="2" t="s">
        <v>27</v>
      </c>
      <c r="F30" s="23">
        <v>5174</v>
      </c>
      <c r="G30" s="23">
        <v>1650</v>
      </c>
      <c r="H30" s="24">
        <v>0.31890220332431302</v>
      </c>
      <c r="I30" s="24">
        <v>0.29190700400000003</v>
      </c>
      <c r="J30" s="58">
        <v>1089</v>
      </c>
      <c r="K30" s="58">
        <v>328</v>
      </c>
      <c r="L30" s="24">
        <v>0.30119375573920998</v>
      </c>
      <c r="N30" s="2" t="s">
        <v>136</v>
      </c>
      <c r="O30" s="2" t="s">
        <v>137</v>
      </c>
      <c r="P30" s="2" t="s">
        <v>27</v>
      </c>
      <c r="Q30" s="2" t="s">
        <v>67</v>
      </c>
      <c r="R30" s="23">
        <v>235</v>
      </c>
      <c r="S30" s="23">
        <v>124</v>
      </c>
      <c r="T30" s="24">
        <v>0.52765957446808498</v>
      </c>
      <c r="U30" s="14" t="str">
        <f>VLOOKUP(flu_staff[[#This Row],[trust_code]],trust_lookup[],3,0)</f>
        <v>Moorfields</v>
      </c>
      <c r="W30" s="2" t="s">
        <v>83</v>
      </c>
      <c r="X30" s="2" t="s">
        <v>84</v>
      </c>
      <c r="Y30" s="2" t="s">
        <v>27</v>
      </c>
      <c r="Z30" s="2" t="s">
        <v>123</v>
      </c>
      <c r="AA30" s="23">
        <v>244</v>
      </c>
      <c r="AB30" s="23">
        <v>132</v>
      </c>
      <c r="AC30" s="24">
        <v>0.54098360655737698</v>
      </c>
      <c r="AD30" s="14" t="str">
        <f>VLOOKUP(flu_eth_ep[[#This Row],[trust_code]],trust_lookup[],3,0)</f>
        <v>GOSH</v>
      </c>
      <c r="AE30" s="14" t="str">
        <f>VLOOKUP(flu_eth_ep[[#This Row],[trust_code]],trust_lookup[],4,0)</f>
        <v>Specialist</v>
      </c>
      <c r="AG30" s="32" t="s">
        <v>170</v>
      </c>
      <c r="AH30" s="5" t="s">
        <v>171</v>
      </c>
      <c r="AI30" s="33" t="s">
        <v>172</v>
      </c>
      <c r="AJ30" s="2" t="s">
        <v>620</v>
      </c>
      <c r="AM30" s="2" t="s">
        <v>172</v>
      </c>
    </row>
    <row r="31" spans="2:39" x14ac:dyDescent="0.35">
      <c r="B31" s="2" t="s">
        <v>157</v>
      </c>
      <c r="C31" s="2" t="s">
        <v>158</v>
      </c>
      <c r="D31" s="2" t="s">
        <v>160</v>
      </c>
      <c r="E31" s="2" t="s">
        <v>27</v>
      </c>
      <c r="F31" s="23">
        <v>18777</v>
      </c>
      <c r="G31" s="23">
        <v>6958</v>
      </c>
      <c r="H31" s="24">
        <v>0.37055972732598302</v>
      </c>
      <c r="I31" s="24">
        <v>0.35984664599999999</v>
      </c>
      <c r="J31" s="58">
        <v>1957</v>
      </c>
      <c r="K31" s="58">
        <v>664</v>
      </c>
      <c r="L31" s="24">
        <v>0.33929483903934499</v>
      </c>
      <c r="N31" s="2" t="s">
        <v>136</v>
      </c>
      <c r="O31" s="2" t="s">
        <v>137</v>
      </c>
      <c r="P31" s="2" t="s">
        <v>27</v>
      </c>
      <c r="Q31" s="2" t="s">
        <v>42</v>
      </c>
      <c r="R31" s="23">
        <v>465</v>
      </c>
      <c r="S31" s="23">
        <v>273</v>
      </c>
      <c r="T31" s="24">
        <v>0.587096774193548</v>
      </c>
      <c r="U31" s="14" t="str">
        <f>VLOOKUP(flu_staff[[#This Row],[trust_code]],trust_lookup[],3,0)</f>
        <v>Moorfields</v>
      </c>
      <c r="W31" s="2" t="s">
        <v>83</v>
      </c>
      <c r="X31" s="2" t="s">
        <v>84</v>
      </c>
      <c r="Y31" s="2" t="s">
        <v>27</v>
      </c>
      <c r="Z31" s="2" t="s">
        <v>129</v>
      </c>
      <c r="AA31" s="23">
        <v>15</v>
      </c>
      <c r="AB31" s="23">
        <v>5</v>
      </c>
      <c r="AC31" s="24">
        <v>0.33333333333333298</v>
      </c>
      <c r="AD31" s="14" t="str">
        <f>VLOOKUP(flu_eth_ep[[#This Row],[trust_code]],trust_lookup[],3,0)</f>
        <v>GOSH</v>
      </c>
      <c r="AE31" s="14" t="str">
        <f>VLOOKUP(flu_eth_ep[[#This Row],[trust_code]],trust_lookup[],4,0)</f>
        <v>Specialist</v>
      </c>
      <c r="AG31" s="32" t="s">
        <v>173</v>
      </c>
      <c r="AH31" s="5" t="s">
        <v>174</v>
      </c>
      <c r="AI31" s="33" t="s">
        <v>175</v>
      </c>
      <c r="AJ31" s="2" t="s">
        <v>625</v>
      </c>
      <c r="AM31" s="2" t="s">
        <v>175</v>
      </c>
    </row>
    <row r="32" spans="2:39" x14ac:dyDescent="0.35">
      <c r="B32" s="2" t="s">
        <v>161</v>
      </c>
      <c r="C32" s="2" t="s">
        <v>162</v>
      </c>
      <c r="D32" s="2" t="s">
        <v>160</v>
      </c>
      <c r="E32" s="2" t="s">
        <v>27</v>
      </c>
      <c r="F32" s="23">
        <v>998</v>
      </c>
      <c r="G32" s="23">
        <v>421</v>
      </c>
      <c r="H32" s="24">
        <v>0.42184368737474898</v>
      </c>
      <c r="I32" s="24">
        <v>0.38827893199999902</v>
      </c>
      <c r="J32" s="58">
        <v>702</v>
      </c>
      <c r="K32" s="58">
        <v>289</v>
      </c>
      <c r="L32" s="24">
        <v>0.41168091168091098</v>
      </c>
      <c r="N32" s="2" t="s">
        <v>147</v>
      </c>
      <c r="O32" s="2" t="s">
        <v>148</v>
      </c>
      <c r="P32" s="2" t="s">
        <v>27</v>
      </c>
      <c r="Q32" s="2" t="s">
        <v>81</v>
      </c>
      <c r="R32" s="23">
        <v>1698</v>
      </c>
      <c r="S32" s="23">
        <v>433</v>
      </c>
      <c r="T32" s="24">
        <v>0.25500588928150703</v>
      </c>
      <c r="U32" s="14" t="str">
        <f>VLOOKUP(flu_staff[[#This Row],[trust_code]],trust_lookup[],3,0)</f>
        <v>North London</v>
      </c>
      <c r="W32" s="2" t="s">
        <v>83</v>
      </c>
      <c r="X32" s="2" t="s">
        <v>84</v>
      </c>
      <c r="Y32" s="2" t="s">
        <v>27</v>
      </c>
      <c r="Z32" s="2" t="s">
        <v>54</v>
      </c>
      <c r="AA32" s="23">
        <v>497</v>
      </c>
      <c r="AB32" s="23">
        <v>276</v>
      </c>
      <c r="AC32" s="24">
        <v>0.55533199195171001</v>
      </c>
      <c r="AD32" s="14" t="str">
        <f>VLOOKUP(flu_eth_ep[[#This Row],[trust_code]],trust_lookup[],3,0)</f>
        <v>GOSH</v>
      </c>
      <c r="AE32" s="14" t="str">
        <f>VLOOKUP(flu_eth_ep[[#This Row],[trust_code]],trust_lookup[],4,0)</f>
        <v>Specialist</v>
      </c>
      <c r="AG32" s="32" t="s">
        <v>176</v>
      </c>
      <c r="AH32" s="5" t="s">
        <v>177</v>
      </c>
      <c r="AI32" s="33" t="s">
        <v>178</v>
      </c>
      <c r="AJ32" s="2" t="s">
        <v>620</v>
      </c>
      <c r="AM32" s="2" t="s">
        <v>178</v>
      </c>
    </row>
    <row r="33" spans="2:39" x14ac:dyDescent="0.35">
      <c r="B33" s="2" t="s">
        <v>173</v>
      </c>
      <c r="C33" s="2" t="s">
        <v>174</v>
      </c>
      <c r="D33" s="2" t="s">
        <v>160</v>
      </c>
      <c r="E33" s="2" t="s">
        <v>27</v>
      </c>
      <c r="F33" s="23">
        <v>604</v>
      </c>
      <c r="G33" s="23">
        <v>269</v>
      </c>
      <c r="H33" s="24">
        <v>0.44536423841059603</v>
      </c>
      <c r="I33" s="24">
        <v>0.32752293599999999</v>
      </c>
      <c r="J33" s="58">
        <v>392</v>
      </c>
      <c r="K33" s="58">
        <v>146</v>
      </c>
      <c r="L33" s="24">
        <v>0.37244897959183598</v>
      </c>
      <c r="N33" s="2" t="s">
        <v>147</v>
      </c>
      <c r="O33" s="2" t="s">
        <v>148</v>
      </c>
      <c r="P33" s="2" t="s">
        <v>27</v>
      </c>
      <c r="Q33" s="2" t="s">
        <v>46</v>
      </c>
      <c r="R33" s="23">
        <v>105</v>
      </c>
      <c r="S33" s="23">
        <v>33</v>
      </c>
      <c r="T33" s="24">
        <v>0.314285714285714</v>
      </c>
      <c r="U33" s="14" t="str">
        <f>VLOOKUP(flu_staff[[#This Row],[trust_code]],trust_lookup[],3,0)</f>
        <v>North London</v>
      </c>
      <c r="W33" s="2" t="s">
        <v>83</v>
      </c>
      <c r="X33" s="2" t="s">
        <v>84</v>
      </c>
      <c r="Y33" s="2" t="s">
        <v>27</v>
      </c>
      <c r="Z33" s="2" t="s">
        <v>75</v>
      </c>
      <c r="AA33" s="23">
        <v>89</v>
      </c>
      <c r="AB33" s="23">
        <v>30</v>
      </c>
      <c r="AC33" s="24">
        <v>0.33707865168539303</v>
      </c>
      <c r="AD33" s="14" t="str">
        <f>VLOOKUP(flu_eth_ep[[#This Row],[trust_code]],trust_lookup[],3,0)</f>
        <v>GOSH</v>
      </c>
      <c r="AE33" s="14" t="str">
        <f>VLOOKUP(flu_eth_ep[[#This Row],[trust_code]],trust_lookup[],4,0)</f>
        <v>Specialist</v>
      </c>
      <c r="AG33" s="32" t="s">
        <v>179</v>
      </c>
      <c r="AH33" s="5" t="s">
        <v>180</v>
      </c>
      <c r="AI33" s="33" t="s">
        <v>181</v>
      </c>
      <c r="AJ33" s="2" t="s">
        <v>627</v>
      </c>
      <c r="AM33" s="2" t="s">
        <v>181</v>
      </c>
    </row>
    <row r="34" spans="2:39" x14ac:dyDescent="0.35">
      <c r="B34" s="2" t="s">
        <v>182</v>
      </c>
      <c r="C34" s="2" t="s">
        <v>183</v>
      </c>
      <c r="D34" s="2" t="s">
        <v>160</v>
      </c>
      <c r="E34" s="2" t="s">
        <v>27</v>
      </c>
      <c r="F34" s="23">
        <v>8265</v>
      </c>
      <c r="G34" s="23">
        <v>3638</v>
      </c>
      <c r="H34" s="24">
        <v>0.44016938898971503</v>
      </c>
      <c r="I34" s="24">
        <v>0.445920969</v>
      </c>
      <c r="J34" s="58">
        <v>2981</v>
      </c>
      <c r="K34" s="58">
        <v>997</v>
      </c>
      <c r="L34" s="24">
        <v>0.33445152633344499</v>
      </c>
      <c r="N34" s="2" t="s">
        <v>147</v>
      </c>
      <c r="O34" s="2" t="s">
        <v>148</v>
      </c>
      <c r="P34" s="2" t="s">
        <v>27</v>
      </c>
      <c r="Q34" s="2" t="s">
        <v>67</v>
      </c>
      <c r="R34" s="23">
        <v>1166</v>
      </c>
      <c r="S34" s="23">
        <v>422</v>
      </c>
      <c r="T34" s="24">
        <v>0.36192109777015402</v>
      </c>
      <c r="U34" s="14" t="str">
        <f>VLOOKUP(flu_staff[[#This Row],[trust_code]],trust_lookup[],3,0)</f>
        <v>North London</v>
      </c>
      <c r="W34" s="2" t="s">
        <v>83</v>
      </c>
      <c r="X34" s="2" t="s">
        <v>84</v>
      </c>
      <c r="Y34" s="2" t="s">
        <v>27</v>
      </c>
      <c r="Z34" s="2" t="s">
        <v>112</v>
      </c>
      <c r="AA34" s="23">
        <v>197</v>
      </c>
      <c r="AB34" s="23">
        <v>106</v>
      </c>
      <c r="AC34" s="24">
        <v>0.538071065989847</v>
      </c>
      <c r="AD34" s="14" t="str">
        <f>VLOOKUP(flu_eth_ep[[#This Row],[trust_code]],trust_lookup[],3,0)</f>
        <v>GOSH</v>
      </c>
      <c r="AE34" s="14" t="str">
        <f>VLOOKUP(flu_eth_ep[[#This Row],[trust_code]],trust_lookup[],4,0)</f>
        <v>Specialist</v>
      </c>
      <c r="AG34" s="32" t="s">
        <v>182</v>
      </c>
      <c r="AH34" s="5" t="s">
        <v>183</v>
      </c>
      <c r="AI34" s="33" t="s">
        <v>184</v>
      </c>
      <c r="AJ34" s="2" t="s">
        <v>620</v>
      </c>
      <c r="AM34" s="2" t="s">
        <v>184</v>
      </c>
    </row>
    <row r="35" spans="2:39" x14ac:dyDescent="0.35">
      <c r="B35" s="2" t="s">
        <v>185</v>
      </c>
      <c r="C35" s="2" t="s">
        <v>186</v>
      </c>
      <c r="D35" s="2" t="s">
        <v>160</v>
      </c>
      <c r="E35" s="2" t="s">
        <v>27</v>
      </c>
      <c r="F35" s="23">
        <v>2956</v>
      </c>
      <c r="G35" s="23">
        <v>1170</v>
      </c>
      <c r="H35" s="24">
        <v>0.395805142083897</v>
      </c>
      <c r="I35" s="24">
        <v>0.39853195199999902</v>
      </c>
      <c r="J35" s="58">
        <v>1632</v>
      </c>
      <c r="K35" s="58">
        <v>519</v>
      </c>
      <c r="L35" s="24">
        <v>0.31801470588235198</v>
      </c>
      <c r="N35" s="2" t="s">
        <v>147</v>
      </c>
      <c r="O35" s="2" t="s">
        <v>148</v>
      </c>
      <c r="P35" s="2" t="s">
        <v>27</v>
      </c>
      <c r="Q35" s="2" t="s">
        <v>42</v>
      </c>
      <c r="R35" s="23">
        <v>494</v>
      </c>
      <c r="S35" s="23">
        <v>237</v>
      </c>
      <c r="T35" s="24">
        <v>0.479757085020242</v>
      </c>
      <c r="U35" s="14" t="str">
        <f>VLOOKUP(flu_staff[[#This Row],[trust_code]],trust_lookup[],3,0)</f>
        <v>North London</v>
      </c>
      <c r="W35" s="2" t="s">
        <v>83</v>
      </c>
      <c r="X35" s="2" t="s">
        <v>84</v>
      </c>
      <c r="Y35" s="2" t="s">
        <v>27</v>
      </c>
      <c r="Z35" s="2" t="s">
        <v>135</v>
      </c>
      <c r="AA35" s="23">
        <v>81</v>
      </c>
      <c r="AB35" s="23">
        <v>58</v>
      </c>
      <c r="AC35" s="24">
        <v>0.71604938271604901</v>
      </c>
      <c r="AD35" s="14" t="str">
        <f>VLOOKUP(flu_eth_ep[[#This Row],[trust_code]],trust_lookup[],3,0)</f>
        <v>GOSH</v>
      </c>
      <c r="AE35" s="14" t="str">
        <f>VLOOKUP(flu_eth_ep[[#This Row],[trust_code]],trust_lookup[],4,0)</f>
        <v>Specialist</v>
      </c>
      <c r="AG35" s="32" t="s">
        <v>187</v>
      </c>
      <c r="AH35" s="5" t="s">
        <v>188</v>
      </c>
      <c r="AI35" s="33" t="s">
        <v>189</v>
      </c>
      <c r="AJ35" s="2" t="s">
        <v>621</v>
      </c>
      <c r="AM35" s="2" t="s">
        <v>189</v>
      </c>
    </row>
    <row r="36" spans="2:39" x14ac:dyDescent="0.35">
      <c r="B36" s="2" t="s">
        <v>30</v>
      </c>
      <c r="C36" s="2" t="s">
        <v>31</v>
      </c>
      <c r="D36" s="2" t="s">
        <v>160</v>
      </c>
      <c r="E36" s="2" t="s">
        <v>190</v>
      </c>
      <c r="F36" s="23">
        <v>6967</v>
      </c>
      <c r="G36" s="23">
        <v>2747</v>
      </c>
      <c r="H36" s="24">
        <v>0.39428735467202503</v>
      </c>
      <c r="I36" s="24">
        <v>0.48913520299999902</v>
      </c>
      <c r="J36" s="58">
        <v>1842</v>
      </c>
      <c r="K36" s="58">
        <v>530</v>
      </c>
      <c r="L36" s="24">
        <v>0.287730727470141</v>
      </c>
      <c r="N36" s="2" t="s">
        <v>147</v>
      </c>
      <c r="O36" s="2" t="s">
        <v>148</v>
      </c>
      <c r="P36" s="2" t="s">
        <v>27</v>
      </c>
      <c r="Q36" s="2" t="s">
        <v>53</v>
      </c>
      <c r="R36" s="23">
        <v>1391</v>
      </c>
      <c r="S36" s="23">
        <v>410</v>
      </c>
      <c r="T36" s="24">
        <v>0.29475197699496702</v>
      </c>
      <c r="U36" s="14" t="str">
        <f>VLOOKUP(flu_staff[[#This Row],[trust_code]],trust_lookup[],3,0)</f>
        <v>North London</v>
      </c>
      <c r="W36" s="2" t="s">
        <v>83</v>
      </c>
      <c r="X36" s="2" t="s">
        <v>84</v>
      </c>
      <c r="Y36" s="2" t="s">
        <v>27</v>
      </c>
      <c r="Z36" s="2" t="s">
        <v>100</v>
      </c>
      <c r="AA36" s="23">
        <v>335</v>
      </c>
      <c r="AB36" s="23">
        <v>133</v>
      </c>
      <c r="AC36" s="24">
        <v>0.39701492537313399</v>
      </c>
      <c r="AD36" s="14" t="str">
        <f>VLOOKUP(flu_eth_ep[[#This Row],[trust_code]],trust_lookup[],3,0)</f>
        <v>GOSH</v>
      </c>
      <c r="AE36" s="14" t="str">
        <f>VLOOKUP(flu_eth_ep[[#This Row],[trust_code]],trust_lookup[],4,0)</f>
        <v>Specialist</v>
      </c>
      <c r="AG36" s="34" t="s">
        <v>185</v>
      </c>
      <c r="AH36" s="35" t="s">
        <v>186</v>
      </c>
      <c r="AI36" s="36" t="s">
        <v>191</v>
      </c>
      <c r="AJ36" s="2" t="s">
        <v>623</v>
      </c>
      <c r="AM36" s="2" t="s">
        <v>191</v>
      </c>
    </row>
    <row r="37" spans="2:39" x14ac:dyDescent="0.35">
      <c r="B37" s="2" t="s">
        <v>37</v>
      </c>
      <c r="C37" s="2" t="s">
        <v>38</v>
      </c>
      <c r="D37" s="2" t="s">
        <v>160</v>
      </c>
      <c r="E37" s="2" t="s">
        <v>190</v>
      </c>
      <c r="F37" s="23">
        <v>21424</v>
      </c>
      <c r="G37" s="23">
        <v>7389</v>
      </c>
      <c r="H37" s="24">
        <v>0.34489357729648901</v>
      </c>
      <c r="I37" s="24">
        <v>0.321445602</v>
      </c>
      <c r="J37" s="58">
        <v>4748</v>
      </c>
      <c r="K37" s="58">
        <v>1319</v>
      </c>
      <c r="L37" s="24">
        <v>0.27780117944397598</v>
      </c>
      <c r="N37" s="2" t="s">
        <v>147</v>
      </c>
      <c r="O37" s="2" t="s">
        <v>148</v>
      </c>
      <c r="P37" s="2" t="s">
        <v>27</v>
      </c>
      <c r="Q37" s="2" t="s">
        <v>60</v>
      </c>
      <c r="R37" s="23">
        <v>276</v>
      </c>
      <c r="S37" s="23">
        <v>108</v>
      </c>
      <c r="T37" s="24">
        <v>0.39130434782608697</v>
      </c>
      <c r="U37" s="14" t="str">
        <f>VLOOKUP(flu_staff[[#This Row],[trust_code]],trust_lookup[],3,0)</f>
        <v>North London</v>
      </c>
      <c r="W37" s="2" t="s">
        <v>83</v>
      </c>
      <c r="X37" s="2" t="s">
        <v>84</v>
      </c>
      <c r="Y37" s="2" t="s">
        <v>27</v>
      </c>
      <c r="Z37" s="2" t="s">
        <v>47</v>
      </c>
      <c r="AA37" s="23">
        <v>23</v>
      </c>
      <c r="AB37" s="23">
        <v>6</v>
      </c>
      <c r="AC37" s="24">
        <v>0.26086956521739102</v>
      </c>
      <c r="AD37" s="14" t="str">
        <f>VLOOKUP(flu_eth_ep[[#This Row],[trust_code]],trust_lookup[],3,0)</f>
        <v>GOSH</v>
      </c>
      <c r="AE37" s="14" t="str">
        <f>VLOOKUP(flu_eth_ep[[#This Row],[trust_code]],trust_lookup[],4,0)</f>
        <v>Specialist</v>
      </c>
    </row>
    <row r="38" spans="2:39" x14ac:dyDescent="0.35">
      <c r="B38" s="2" t="s">
        <v>69</v>
      </c>
      <c r="C38" s="2" t="s">
        <v>70</v>
      </c>
      <c r="D38" s="2" t="s">
        <v>160</v>
      </c>
      <c r="E38" s="2" t="s">
        <v>190</v>
      </c>
      <c r="F38" s="23">
        <v>7146</v>
      </c>
      <c r="G38" s="23">
        <v>2284</v>
      </c>
      <c r="H38" s="24">
        <v>0.31961936747830899</v>
      </c>
      <c r="I38" s="24">
        <v>0.31933739999999999</v>
      </c>
      <c r="J38" s="58">
        <v>1629</v>
      </c>
      <c r="K38" s="58">
        <v>524</v>
      </c>
      <c r="L38" s="24">
        <v>0.32166973603437599</v>
      </c>
      <c r="N38" s="2" t="s">
        <v>147</v>
      </c>
      <c r="O38" s="2" t="s">
        <v>148</v>
      </c>
      <c r="P38" s="2" t="s">
        <v>27</v>
      </c>
      <c r="Q38" s="2" t="s">
        <v>35</v>
      </c>
      <c r="R38" s="23">
        <v>22</v>
      </c>
      <c r="S38" s="23">
        <v>3</v>
      </c>
      <c r="T38" s="24">
        <v>0.13636363636363599</v>
      </c>
      <c r="U38" s="14" t="str">
        <f>VLOOKUP(flu_staff[[#This Row],[trust_code]],trust_lookup[],3,0)</f>
        <v>North London</v>
      </c>
      <c r="W38" s="2" t="s">
        <v>83</v>
      </c>
      <c r="X38" s="2" t="s">
        <v>84</v>
      </c>
      <c r="Y38" s="2" t="s">
        <v>27</v>
      </c>
      <c r="Z38" s="2" t="s">
        <v>141</v>
      </c>
      <c r="AA38" s="23">
        <v>237</v>
      </c>
      <c r="AB38" s="23">
        <v>124</v>
      </c>
      <c r="AC38" s="24">
        <v>0.52320675105485204</v>
      </c>
      <c r="AD38" s="14" t="str">
        <f>VLOOKUP(flu_eth_ep[[#This Row],[trust_code]],trust_lookup[],3,0)</f>
        <v>GOSH</v>
      </c>
      <c r="AE38" s="14" t="str">
        <f>VLOOKUP(flu_eth_ep[[#This Row],[trust_code]],trust_lookup[],4,0)</f>
        <v>Specialist</v>
      </c>
    </row>
    <row r="39" spans="2:39" x14ac:dyDescent="0.35">
      <c r="B39" s="2" t="s">
        <v>95</v>
      </c>
      <c r="C39" s="2" t="s">
        <v>96</v>
      </c>
      <c r="D39" s="2" t="s">
        <v>160</v>
      </c>
      <c r="E39" s="2" t="s">
        <v>190</v>
      </c>
      <c r="F39" s="23">
        <v>3667</v>
      </c>
      <c r="G39" s="23">
        <v>1690</v>
      </c>
      <c r="H39" s="24">
        <v>0.46086719389146402</v>
      </c>
      <c r="I39" s="24">
        <v>0.38944695299999998</v>
      </c>
      <c r="J39" s="58">
        <v>1309</v>
      </c>
      <c r="K39" s="58">
        <v>408</v>
      </c>
      <c r="L39" s="24">
        <v>0.31168831168831101</v>
      </c>
      <c r="N39" s="2" t="s">
        <v>147</v>
      </c>
      <c r="O39" s="2" t="s">
        <v>148</v>
      </c>
      <c r="P39" s="2" t="s">
        <v>27</v>
      </c>
      <c r="Q39" s="2" t="s">
        <v>28</v>
      </c>
      <c r="R39" s="23">
        <v>22</v>
      </c>
      <c r="S39" s="23">
        <v>4</v>
      </c>
      <c r="T39" s="24">
        <v>0.18181818181818099</v>
      </c>
      <c r="U39" s="14" t="str">
        <f>VLOOKUP(flu_staff[[#This Row],[trust_code]],trust_lookup[],3,0)</f>
        <v>North London</v>
      </c>
      <c r="W39" s="2" t="s">
        <v>83</v>
      </c>
      <c r="X39" s="2" t="s">
        <v>84</v>
      </c>
      <c r="Y39" s="2" t="s">
        <v>27</v>
      </c>
      <c r="Z39" s="2" t="s">
        <v>36</v>
      </c>
      <c r="AA39" s="23">
        <v>289</v>
      </c>
      <c r="AB39" s="23">
        <v>153</v>
      </c>
      <c r="AC39" s="24">
        <v>0.52941176470588203</v>
      </c>
      <c r="AD39" s="14" t="str">
        <f>VLOOKUP(flu_eth_ep[[#This Row],[trust_code]],trust_lookup[],3,0)</f>
        <v>GOSH</v>
      </c>
      <c r="AE39" s="14" t="str">
        <f>VLOOKUP(flu_eth_ep[[#This Row],[trust_code]],trust_lookup[],4,0)</f>
        <v>Specialist</v>
      </c>
    </row>
    <row r="40" spans="2:39" x14ac:dyDescent="0.35">
      <c r="B40" s="2" t="s">
        <v>142</v>
      </c>
      <c r="C40" s="2" t="s">
        <v>143</v>
      </c>
      <c r="D40" s="2" t="s">
        <v>160</v>
      </c>
      <c r="E40" s="2" t="s">
        <v>190</v>
      </c>
      <c r="F40" s="23">
        <v>6043</v>
      </c>
      <c r="G40" s="23">
        <v>1981</v>
      </c>
      <c r="H40" s="24">
        <v>0.32781730928346797</v>
      </c>
      <c r="I40" s="24">
        <v>0.34624109999999902</v>
      </c>
      <c r="J40" s="58">
        <v>1488</v>
      </c>
      <c r="K40" s="58">
        <v>539</v>
      </c>
      <c r="L40" s="24">
        <v>0.36223118279569799</v>
      </c>
      <c r="N40" s="2" t="s">
        <v>157</v>
      </c>
      <c r="O40" s="2" t="s">
        <v>158</v>
      </c>
      <c r="P40" s="2" t="s">
        <v>27</v>
      </c>
      <c r="Q40" s="2" t="s">
        <v>81</v>
      </c>
      <c r="R40" s="23">
        <v>3070</v>
      </c>
      <c r="S40" s="23">
        <v>896</v>
      </c>
      <c r="T40" s="24">
        <v>0.29185667752442901</v>
      </c>
      <c r="U40" s="14" t="str">
        <f>VLOOKUP(flu_staff[[#This Row],[trust_code]],trust_lookup[],3,0)</f>
        <v>Royal Free</v>
      </c>
      <c r="W40" s="2" t="s">
        <v>83</v>
      </c>
      <c r="X40" s="2" t="s">
        <v>84</v>
      </c>
      <c r="Y40" s="2" t="s">
        <v>27</v>
      </c>
      <c r="Z40" s="2" t="s">
        <v>94</v>
      </c>
      <c r="AA40" s="23">
        <v>29</v>
      </c>
      <c r="AB40" s="23">
        <v>22</v>
      </c>
      <c r="AC40" s="24">
        <v>0.75862068965517204</v>
      </c>
      <c r="AD40" s="14" t="str">
        <f>VLOOKUP(flu_eth_ep[[#This Row],[trust_code]],trust_lookup[],3,0)</f>
        <v>GOSH</v>
      </c>
      <c r="AE40" s="14" t="str">
        <f>VLOOKUP(flu_eth_ep[[#This Row],[trust_code]],trust_lookup[],4,0)</f>
        <v>Specialist</v>
      </c>
    </row>
    <row r="41" spans="2:39" x14ac:dyDescent="0.35">
      <c r="B41" s="2" t="s">
        <v>48</v>
      </c>
      <c r="C41" s="2" t="s">
        <v>49</v>
      </c>
      <c r="D41" s="2" t="s">
        <v>160</v>
      </c>
      <c r="E41" s="2" t="s">
        <v>192</v>
      </c>
      <c r="F41" s="23">
        <v>4119</v>
      </c>
      <c r="G41" s="23">
        <v>1540</v>
      </c>
      <c r="H41" s="24">
        <v>0.37387715464918603</v>
      </c>
      <c r="I41" s="24">
        <v>0.34633582400000001</v>
      </c>
      <c r="J41" s="58">
        <v>761</v>
      </c>
      <c r="K41" s="58">
        <v>247</v>
      </c>
      <c r="L41" s="24">
        <v>0.32457293035479601</v>
      </c>
      <c r="N41" s="2" t="s">
        <v>157</v>
      </c>
      <c r="O41" s="2" t="s">
        <v>158</v>
      </c>
      <c r="P41" s="2" t="s">
        <v>27</v>
      </c>
      <c r="Q41" s="2" t="s">
        <v>35</v>
      </c>
      <c r="R41" s="23">
        <v>53</v>
      </c>
      <c r="S41" s="23">
        <v>9</v>
      </c>
      <c r="T41" s="24">
        <v>0.169811320754716</v>
      </c>
      <c r="U41" s="14" t="str">
        <f>VLOOKUP(flu_staff[[#This Row],[trust_code]],trust_lookup[],3,0)</f>
        <v>Royal Free</v>
      </c>
      <c r="W41" s="2" t="s">
        <v>136</v>
      </c>
      <c r="X41" s="2" t="s">
        <v>137</v>
      </c>
      <c r="Y41" s="2" t="s">
        <v>27</v>
      </c>
      <c r="Z41" s="2" t="s">
        <v>88</v>
      </c>
      <c r="AA41" s="23">
        <v>52</v>
      </c>
      <c r="AB41" s="23">
        <v>7</v>
      </c>
      <c r="AC41" s="24">
        <v>0.134615384615384</v>
      </c>
      <c r="AD41" s="14" t="str">
        <f>VLOOKUP(flu_eth_ep[[#This Row],[trust_code]],trust_lookup[],3,0)</f>
        <v>Moorfields</v>
      </c>
      <c r="AE41" s="14" t="str">
        <f>VLOOKUP(flu_eth_ep[[#This Row],[trust_code]],trust_lookup[],4,0)</f>
        <v>Specialist</v>
      </c>
    </row>
    <row r="42" spans="2:39" x14ac:dyDescent="0.35">
      <c r="B42" s="2" t="s">
        <v>55</v>
      </c>
      <c r="C42" s="2" t="s">
        <v>56</v>
      </c>
      <c r="D42" s="2" t="s">
        <v>160</v>
      </c>
      <c r="E42" s="2" t="s">
        <v>192</v>
      </c>
      <c r="F42" s="23">
        <v>4897</v>
      </c>
      <c r="G42" s="23">
        <v>2171</v>
      </c>
      <c r="H42" s="24">
        <v>0.44333265264447602</v>
      </c>
      <c r="I42" s="24">
        <v>0.42991803299999998</v>
      </c>
      <c r="J42" s="58">
        <v>2079</v>
      </c>
      <c r="K42" s="58">
        <v>818</v>
      </c>
      <c r="L42" s="24">
        <v>0.39345839345839301</v>
      </c>
      <c r="N42" s="2" t="s">
        <v>157</v>
      </c>
      <c r="O42" s="2" t="s">
        <v>158</v>
      </c>
      <c r="P42" s="2" t="s">
        <v>27</v>
      </c>
      <c r="Q42" s="2" t="s">
        <v>67</v>
      </c>
      <c r="R42" s="23">
        <v>648</v>
      </c>
      <c r="S42" s="23">
        <v>270</v>
      </c>
      <c r="T42" s="24">
        <v>0.41666666666666602</v>
      </c>
      <c r="U42" s="14" t="str">
        <f>VLOOKUP(flu_staff[[#This Row],[trust_code]],trust_lookup[],3,0)</f>
        <v>Royal Free</v>
      </c>
      <c r="W42" s="2" t="s">
        <v>136</v>
      </c>
      <c r="X42" s="2" t="s">
        <v>137</v>
      </c>
      <c r="Y42" s="2" t="s">
        <v>27</v>
      </c>
      <c r="Z42" s="2" t="s">
        <v>61</v>
      </c>
      <c r="AA42" s="23">
        <v>54</v>
      </c>
      <c r="AB42" s="23">
        <v>21</v>
      </c>
      <c r="AC42" s="24">
        <v>0.38888888888888801</v>
      </c>
      <c r="AD42" s="14" t="str">
        <f>VLOOKUP(flu_eth_ep[[#This Row],[trust_code]],trust_lookup[],3,0)</f>
        <v>Moorfields</v>
      </c>
      <c r="AE42" s="14" t="str">
        <f>VLOOKUP(flu_eth_ep[[#This Row],[trust_code]],trust_lookup[],4,0)</f>
        <v>Specialist</v>
      </c>
    </row>
    <row r="43" spans="2:39" x14ac:dyDescent="0.35">
      <c r="B43" s="2" t="s">
        <v>101</v>
      </c>
      <c r="C43" s="2" t="s">
        <v>102</v>
      </c>
      <c r="D43" s="2" t="s">
        <v>160</v>
      </c>
      <c r="E43" s="2" t="s">
        <v>192</v>
      </c>
      <c r="F43" s="23">
        <v>11551</v>
      </c>
      <c r="G43" s="23">
        <v>4313</v>
      </c>
      <c r="H43" s="24">
        <v>0.37338758549043299</v>
      </c>
      <c r="I43" s="24">
        <v>0.36846209599999902</v>
      </c>
      <c r="J43" s="58">
        <v>4047</v>
      </c>
      <c r="K43" s="58">
        <v>1225</v>
      </c>
      <c r="L43" s="24">
        <v>0.30269335310106199</v>
      </c>
      <c r="N43" s="2" t="s">
        <v>157</v>
      </c>
      <c r="O43" s="2" t="s">
        <v>158</v>
      </c>
      <c r="P43" s="2" t="s">
        <v>27</v>
      </c>
      <c r="Q43" s="2" t="s">
        <v>46</v>
      </c>
      <c r="R43" s="23">
        <v>1625</v>
      </c>
      <c r="S43" s="23">
        <v>475</v>
      </c>
      <c r="T43" s="24">
        <v>0.29230769230769199</v>
      </c>
      <c r="U43" s="14" t="str">
        <f>VLOOKUP(flu_staff[[#This Row],[trust_code]],trust_lookup[],3,0)</f>
        <v>Royal Free</v>
      </c>
      <c r="W43" s="2" t="s">
        <v>136</v>
      </c>
      <c r="X43" s="2" t="s">
        <v>137</v>
      </c>
      <c r="Y43" s="2" t="s">
        <v>27</v>
      </c>
      <c r="Z43" s="2" t="s">
        <v>123</v>
      </c>
      <c r="AA43" s="23">
        <v>253</v>
      </c>
      <c r="AB43" s="23">
        <v>129</v>
      </c>
      <c r="AC43" s="24">
        <v>0.50988142292490102</v>
      </c>
      <c r="AD43" s="14" t="str">
        <f>VLOOKUP(flu_eth_ep[[#This Row],[trust_code]],trust_lookup[],3,0)</f>
        <v>Moorfields</v>
      </c>
      <c r="AE43" s="14" t="str">
        <f>VLOOKUP(flu_eth_ep[[#This Row],[trust_code]],trust_lookup[],4,0)</f>
        <v>Specialist</v>
      </c>
    </row>
    <row r="44" spans="2:39" x14ac:dyDescent="0.35">
      <c r="B44" s="2" t="s">
        <v>124</v>
      </c>
      <c r="C44" s="2" t="s">
        <v>125</v>
      </c>
      <c r="D44" s="2" t="s">
        <v>160</v>
      </c>
      <c r="E44" s="2" t="s">
        <v>192</v>
      </c>
      <c r="F44" s="23">
        <v>3706</v>
      </c>
      <c r="G44" s="23">
        <v>1852</v>
      </c>
      <c r="H44" s="24">
        <v>0.49973016729627601</v>
      </c>
      <c r="I44" s="24">
        <v>0.46653786699999999</v>
      </c>
      <c r="J44" s="58">
        <v>3603</v>
      </c>
      <c r="K44" s="58">
        <v>1238</v>
      </c>
      <c r="L44" s="24">
        <v>0.34360255342769902</v>
      </c>
      <c r="N44" s="2" t="s">
        <v>157</v>
      </c>
      <c r="O44" s="2" t="s">
        <v>158</v>
      </c>
      <c r="P44" s="2" t="s">
        <v>27</v>
      </c>
      <c r="Q44" s="2" t="s">
        <v>28</v>
      </c>
      <c r="R44" s="23">
        <v>733</v>
      </c>
      <c r="S44" s="23">
        <v>232</v>
      </c>
      <c r="T44" s="24">
        <v>0.31650750341064099</v>
      </c>
      <c r="U44" s="14" t="str">
        <f>VLOOKUP(flu_staff[[#This Row],[trust_code]],trust_lookup[],3,0)</f>
        <v>Royal Free</v>
      </c>
      <c r="W44" s="2" t="s">
        <v>136</v>
      </c>
      <c r="X44" s="2" t="s">
        <v>137</v>
      </c>
      <c r="Y44" s="2" t="s">
        <v>27</v>
      </c>
      <c r="Z44" s="2" t="s">
        <v>36</v>
      </c>
      <c r="AA44" s="23">
        <v>108</v>
      </c>
      <c r="AB44" s="23">
        <v>48</v>
      </c>
      <c r="AC44" s="24">
        <v>0.44444444444444398</v>
      </c>
      <c r="AD44" s="14" t="str">
        <f>VLOOKUP(flu_eth_ep[[#This Row],[trust_code]],trust_lookup[],3,0)</f>
        <v>Moorfields</v>
      </c>
      <c r="AE44" s="14" t="str">
        <f>VLOOKUP(flu_eth_ep[[#This Row],[trust_code]],trust_lookup[],4,0)</f>
        <v>Specialist</v>
      </c>
    </row>
    <row r="45" spans="2:39" x14ac:dyDescent="0.35">
      <c r="B45" s="2" t="s">
        <v>130</v>
      </c>
      <c r="C45" s="2" t="s">
        <v>131</v>
      </c>
      <c r="D45" s="2" t="s">
        <v>160</v>
      </c>
      <c r="E45" s="2" t="s">
        <v>192</v>
      </c>
      <c r="F45" s="23">
        <v>4230</v>
      </c>
      <c r="G45" s="23">
        <v>1787</v>
      </c>
      <c r="H45" s="24">
        <v>0.42245862884160701</v>
      </c>
      <c r="I45" s="24">
        <v>0.431501678</v>
      </c>
      <c r="J45" s="58">
        <v>4507</v>
      </c>
      <c r="K45" s="58">
        <v>1798</v>
      </c>
      <c r="L45" s="24">
        <v>0.39893499001553101</v>
      </c>
      <c r="N45" s="2" t="s">
        <v>157</v>
      </c>
      <c r="O45" s="2" t="s">
        <v>158</v>
      </c>
      <c r="P45" s="2" t="s">
        <v>27</v>
      </c>
      <c r="Q45" s="2" t="s">
        <v>60</v>
      </c>
      <c r="R45" s="23">
        <v>1432</v>
      </c>
      <c r="S45" s="23">
        <v>584</v>
      </c>
      <c r="T45" s="24">
        <v>0.40782122905027901</v>
      </c>
      <c r="U45" s="14" t="str">
        <f>VLOOKUP(flu_staff[[#This Row],[trust_code]],trust_lookup[],3,0)</f>
        <v>Royal Free</v>
      </c>
      <c r="W45" s="2" t="s">
        <v>136</v>
      </c>
      <c r="X45" s="2" t="s">
        <v>137</v>
      </c>
      <c r="Y45" s="2" t="s">
        <v>27</v>
      </c>
      <c r="Z45" s="2" t="s">
        <v>94</v>
      </c>
      <c r="AA45" s="23">
        <v>18</v>
      </c>
      <c r="AB45" s="23">
        <v>15</v>
      </c>
      <c r="AC45" s="24">
        <v>0.83333333333333304</v>
      </c>
      <c r="AD45" s="14" t="str">
        <f>VLOOKUP(flu_eth_ep[[#This Row],[trust_code]],trust_lookup[],3,0)</f>
        <v>Moorfields</v>
      </c>
      <c r="AE45" s="14" t="str">
        <f>VLOOKUP(flu_eth_ep[[#This Row],[trust_code]],trust_lookup[],4,0)</f>
        <v>Specialist</v>
      </c>
    </row>
    <row r="46" spans="2:39" x14ac:dyDescent="0.35">
      <c r="B46" s="2" t="s">
        <v>176</v>
      </c>
      <c r="C46" s="2" t="s">
        <v>177</v>
      </c>
      <c r="D46" s="2" t="s">
        <v>160</v>
      </c>
      <c r="E46" s="2" t="s">
        <v>192</v>
      </c>
      <c r="F46" s="23">
        <v>3053</v>
      </c>
      <c r="G46" s="23">
        <v>1049</v>
      </c>
      <c r="H46" s="24">
        <v>0.34359646249590498</v>
      </c>
      <c r="I46" s="24">
        <v>0.35087919200000001</v>
      </c>
      <c r="J46" s="58">
        <v>629</v>
      </c>
      <c r="K46" s="58">
        <v>256</v>
      </c>
      <c r="L46" s="24">
        <v>0.40699523052464198</v>
      </c>
      <c r="N46" s="2" t="s">
        <v>157</v>
      </c>
      <c r="O46" s="2" t="s">
        <v>158</v>
      </c>
      <c r="P46" s="2" t="s">
        <v>27</v>
      </c>
      <c r="Q46" s="2" t="s">
        <v>42</v>
      </c>
      <c r="R46" s="23">
        <v>5712</v>
      </c>
      <c r="S46" s="23">
        <v>2580</v>
      </c>
      <c r="T46" s="24">
        <v>0.45168067226890701</v>
      </c>
      <c r="U46" s="14" t="str">
        <f>VLOOKUP(flu_staff[[#This Row],[trust_code]],trust_lookup[],3,0)</f>
        <v>Royal Free</v>
      </c>
      <c r="W46" s="2" t="s">
        <v>136</v>
      </c>
      <c r="X46" s="2" t="s">
        <v>137</v>
      </c>
      <c r="Y46" s="2" t="s">
        <v>27</v>
      </c>
      <c r="Z46" s="2" t="s">
        <v>68</v>
      </c>
      <c r="AA46" s="23">
        <v>302</v>
      </c>
      <c r="AB46" s="23">
        <v>198</v>
      </c>
      <c r="AC46" s="24">
        <v>0.65562913907284703</v>
      </c>
      <c r="AD46" s="14" t="str">
        <f>VLOOKUP(flu_eth_ep[[#This Row],[trust_code]],trust_lookup[],3,0)</f>
        <v>Moorfields</v>
      </c>
      <c r="AE46" s="14" t="str">
        <f>VLOOKUP(flu_eth_ep[[#This Row],[trust_code]],trust_lookup[],4,0)</f>
        <v>Specialist</v>
      </c>
    </row>
    <row r="47" spans="2:39" x14ac:dyDescent="0.35">
      <c r="B47" s="2" t="s">
        <v>187</v>
      </c>
      <c r="C47" s="2" t="s">
        <v>188</v>
      </c>
      <c r="D47" s="2" t="s">
        <v>160</v>
      </c>
      <c r="E47" s="2" t="s">
        <v>192</v>
      </c>
      <c r="F47" s="23">
        <v>4258</v>
      </c>
      <c r="G47" s="23">
        <v>1475</v>
      </c>
      <c r="H47" s="24">
        <v>0.34640676373884399</v>
      </c>
      <c r="I47" s="24">
        <v>0.35353606799999998</v>
      </c>
      <c r="J47" s="58">
        <v>1270</v>
      </c>
      <c r="K47" s="58">
        <v>464</v>
      </c>
      <c r="L47" s="24">
        <v>0.36535433070866102</v>
      </c>
      <c r="N47" s="2" t="s">
        <v>157</v>
      </c>
      <c r="O47" s="2" t="s">
        <v>158</v>
      </c>
      <c r="P47" s="2" t="s">
        <v>27</v>
      </c>
      <c r="Q47" s="2" t="s">
        <v>53</v>
      </c>
      <c r="R47" s="23">
        <v>5191</v>
      </c>
      <c r="S47" s="23">
        <v>1780</v>
      </c>
      <c r="T47" s="24">
        <v>0.34290117511076801</v>
      </c>
      <c r="U47" s="14" t="str">
        <f>VLOOKUP(flu_staff[[#This Row],[trust_code]],trust_lookup[],3,0)</f>
        <v>Royal Free</v>
      </c>
      <c r="W47" s="2" t="s">
        <v>136</v>
      </c>
      <c r="X47" s="2" t="s">
        <v>137</v>
      </c>
      <c r="Y47" s="2" t="s">
        <v>27</v>
      </c>
      <c r="Z47" s="2" t="s">
        <v>54</v>
      </c>
      <c r="AA47" s="23">
        <v>186</v>
      </c>
      <c r="AB47" s="23">
        <v>81</v>
      </c>
      <c r="AC47" s="24">
        <v>0.43548387096774099</v>
      </c>
      <c r="AD47" s="14" t="str">
        <f>VLOOKUP(flu_eth_ep[[#This Row],[trust_code]],trust_lookup[],3,0)</f>
        <v>Moorfields</v>
      </c>
      <c r="AE47" s="14" t="str">
        <f>VLOOKUP(flu_eth_ep[[#This Row],[trust_code]],trust_lookup[],4,0)</f>
        <v>Specialist</v>
      </c>
    </row>
    <row r="48" spans="2:39" x14ac:dyDescent="0.35">
      <c r="B48" s="2" t="s">
        <v>89</v>
      </c>
      <c r="C48" s="2" t="s">
        <v>90</v>
      </c>
      <c r="D48" s="2" t="s">
        <v>160</v>
      </c>
      <c r="E48" s="2" t="s">
        <v>193</v>
      </c>
      <c r="F48" s="23">
        <v>17100</v>
      </c>
      <c r="G48" s="23">
        <v>7487</v>
      </c>
      <c r="H48" s="24">
        <v>0.43783625730994102</v>
      </c>
      <c r="I48" s="24">
        <v>0.401467136</v>
      </c>
      <c r="J48" s="58">
        <v>6608</v>
      </c>
      <c r="K48" s="58">
        <v>2486</v>
      </c>
      <c r="L48" s="24">
        <v>0.37621065375302598</v>
      </c>
      <c r="N48" s="2" t="s">
        <v>157</v>
      </c>
      <c r="O48" s="2" t="s">
        <v>158</v>
      </c>
      <c r="P48" s="2" t="s">
        <v>27</v>
      </c>
      <c r="Q48" s="2" t="s">
        <v>74</v>
      </c>
      <c r="R48" s="23">
        <v>313</v>
      </c>
      <c r="S48" s="23">
        <v>132</v>
      </c>
      <c r="T48" s="24">
        <v>0.42172523961661301</v>
      </c>
      <c r="U48" s="14" t="str">
        <f>VLOOKUP(flu_staff[[#This Row],[trust_code]],trust_lookup[],3,0)</f>
        <v>Royal Free</v>
      </c>
      <c r="W48" s="2" t="s">
        <v>136</v>
      </c>
      <c r="X48" s="2" t="s">
        <v>137</v>
      </c>
      <c r="Y48" s="2" t="s">
        <v>27</v>
      </c>
      <c r="Z48" s="2" t="s">
        <v>106</v>
      </c>
      <c r="AA48" s="23">
        <v>46</v>
      </c>
      <c r="AB48" s="23">
        <v>23</v>
      </c>
      <c r="AC48" s="24">
        <v>0.5</v>
      </c>
      <c r="AD48" s="14" t="str">
        <f>VLOOKUP(flu_eth_ep[[#This Row],[trust_code]],trust_lookup[],3,0)</f>
        <v>Moorfields</v>
      </c>
      <c r="AE48" s="14" t="str">
        <f>VLOOKUP(flu_eth_ep[[#This Row],[trust_code]],trust_lookup[],4,0)</f>
        <v>Specialist</v>
      </c>
    </row>
    <row r="49" spans="2:31" x14ac:dyDescent="0.35">
      <c r="B49" s="2" t="s">
        <v>107</v>
      </c>
      <c r="C49" s="2" t="s">
        <v>108</v>
      </c>
      <c r="D49" s="2" t="s">
        <v>160</v>
      </c>
      <c r="E49" s="2" t="s">
        <v>193</v>
      </c>
      <c r="F49" s="23">
        <v>9537</v>
      </c>
      <c r="G49" s="23">
        <v>4420</v>
      </c>
      <c r="H49" s="24">
        <v>0.46345811051693397</v>
      </c>
      <c r="I49" s="24">
        <v>0.45879828299999997</v>
      </c>
      <c r="J49" s="58">
        <v>4895</v>
      </c>
      <c r="K49" s="58">
        <v>1530</v>
      </c>
      <c r="L49" s="24">
        <v>0.312563840653728</v>
      </c>
      <c r="N49" s="2" t="s">
        <v>161</v>
      </c>
      <c r="O49" s="2" t="s">
        <v>162</v>
      </c>
      <c r="P49" s="2" t="s">
        <v>27</v>
      </c>
      <c r="Q49" s="2" t="s">
        <v>42</v>
      </c>
      <c r="R49" s="23">
        <v>217</v>
      </c>
      <c r="S49" s="23">
        <v>104</v>
      </c>
      <c r="T49" s="24">
        <v>0.479262672811059</v>
      </c>
      <c r="U49" s="14" t="str">
        <f>VLOOKUP(flu_staff[[#This Row],[trust_code]],trust_lookup[],3,0)</f>
        <v>RNOH</v>
      </c>
      <c r="W49" s="2" t="s">
        <v>136</v>
      </c>
      <c r="X49" s="2" t="s">
        <v>137</v>
      </c>
      <c r="Y49" s="2" t="s">
        <v>27</v>
      </c>
      <c r="Z49" s="2" t="s">
        <v>141</v>
      </c>
      <c r="AA49" s="23">
        <v>216</v>
      </c>
      <c r="AB49" s="23">
        <v>127</v>
      </c>
      <c r="AC49" s="24">
        <v>0.58796296296296202</v>
      </c>
      <c r="AD49" s="14" t="str">
        <f>VLOOKUP(flu_eth_ep[[#This Row],[trust_code]],trust_lookup[],3,0)</f>
        <v>Moorfields</v>
      </c>
      <c r="AE49" s="14" t="str">
        <f>VLOOKUP(flu_eth_ep[[#This Row],[trust_code]],trust_lookup[],4,0)</f>
        <v>Specialist</v>
      </c>
    </row>
    <row r="50" spans="2:31" x14ac:dyDescent="0.35">
      <c r="B50" s="2" t="s">
        <v>118</v>
      </c>
      <c r="C50" s="2" t="s">
        <v>119</v>
      </c>
      <c r="D50" s="2" t="s">
        <v>160</v>
      </c>
      <c r="E50" s="2" t="s">
        <v>193</v>
      </c>
      <c r="F50" s="23">
        <v>6639</v>
      </c>
      <c r="G50" s="23">
        <v>2366</v>
      </c>
      <c r="H50" s="24">
        <v>0.35637897273685798</v>
      </c>
      <c r="I50" s="24">
        <v>0.35655045600000002</v>
      </c>
      <c r="J50" s="58">
        <v>1472</v>
      </c>
      <c r="K50" s="58">
        <v>453</v>
      </c>
      <c r="L50" s="24">
        <v>0.30774456521739102</v>
      </c>
      <c r="N50" s="2" t="s">
        <v>161</v>
      </c>
      <c r="O50" s="2" t="s">
        <v>162</v>
      </c>
      <c r="P50" s="2" t="s">
        <v>27</v>
      </c>
      <c r="Q50" s="2" t="s">
        <v>81</v>
      </c>
      <c r="R50" s="23">
        <v>149</v>
      </c>
      <c r="S50" s="23">
        <v>51</v>
      </c>
      <c r="T50" s="24">
        <v>0.34228187919462999</v>
      </c>
      <c r="U50" s="14" t="str">
        <f>VLOOKUP(flu_staff[[#This Row],[trust_code]],trust_lookup[],3,0)</f>
        <v>RNOH</v>
      </c>
      <c r="W50" s="2" t="s">
        <v>136</v>
      </c>
      <c r="X50" s="2" t="s">
        <v>137</v>
      </c>
      <c r="Y50" s="2" t="s">
        <v>27</v>
      </c>
      <c r="Z50" s="2" t="s">
        <v>47</v>
      </c>
      <c r="AA50" s="23">
        <v>17</v>
      </c>
      <c r="AB50" s="23">
        <v>8</v>
      </c>
      <c r="AC50" s="24">
        <v>0.47058823529411697</v>
      </c>
      <c r="AD50" s="14" t="str">
        <f>VLOOKUP(flu_eth_ep[[#This Row],[trust_code]],trust_lookup[],3,0)</f>
        <v>Moorfields</v>
      </c>
      <c r="AE50" s="14" t="str">
        <f>VLOOKUP(flu_eth_ep[[#This Row],[trust_code]],trust_lookup[],4,0)</f>
        <v>Specialist</v>
      </c>
    </row>
    <row r="51" spans="2:31" x14ac:dyDescent="0.35">
      <c r="B51" s="2" t="s">
        <v>152</v>
      </c>
      <c r="C51" s="2" t="s">
        <v>153</v>
      </c>
      <c r="D51" s="2" t="s">
        <v>160</v>
      </c>
      <c r="E51" s="2" t="s">
        <v>193</v>
      </c>
      <c r="F51" s="23">
        <v>3059</v>
      </c>
      <c r="G51" s="23">
        <v>1166</v>
      </c>
      <c r="H51" s="24">
        <v>0.38117031709708998</v>
      </c>
      <c r="I51" s="24">
        <v>0.37116788299999998</v>
      </c>
      <c r="J51" s="58">
        <v>2154</v>
      </c>
      <c r="K51" s="58">
        <v>872</v>
      </c>
      <c r="L51" s="24">
        <v>0.40482822655524597</v>
      </c>
      <c r="N51" s="2" t="s">
        <v>161</v>
      </c>
      <c r="O51" s="2" t="s">
        <v>162</v>
      </c>
      <c r="P51" s="2" t="s">
        <v>27</v>
      </c>
      <c r="Q51" s="2" t="s">
        <v>46</v>
      </c>
      <c r="R51" s="23">
        <v>1</v>
      </c>
      <c r="S51" s="23">
        <v>0</v>
      </c>
      <c r="T51" s="24">
        <v>0</v>
      </c>
      <c r="U51" s="14" t="str">
        <f>VLOOKUP(flu_staff[[#This Row],[trust_code]],trust_lookup[],3,0)</f>
        <v>RNOH</v>
      </c>
      <c r="W51" s="2" t="s">
        <v>136</v>
      </c>
      <c r="X51" s="2" t="s">
        <v>137</v>
      </c>
      <c r="Y51" s="2" t="s">
        <v>27</v>
      </c>
      <c r="Z51" s="2" t="s">
        <v>135</v>
      </c>
      <c r="AA51" s="23">
        <v>21</v>
      </c>
      <c r="AB51" s="23">
        <v>13</v>
      </c>
      <c r="AC51" s="24">
        <v>0.61904761904761896</v>
      </c>
      <c r="AD51" s="14" t="str">
        <f>VLOOKUP(flu_eth_ep[[#This Row],[trust_code]],trust_lookup[],3,0)</f>
        <v>Moorfields</v>
      </c>
      <c r="AE51" s="14" t="str">
        <f>VLOOKUP(flu_eth_ep[[#This Row],[trust_code]],trust_lookup[],4,0)</f>
        <v>Specialist</v>
      </c>
    </row>
    <row r="52" spans="2:31" x14ac:dyDescent="0.35">
      <c r="B52" s="2" t="s">
        <v>164</v>
      </c>
      <c r="C52" s="2" t="s">
        <v>165</v>
      </c>
      <c r="D52" s="2" t="s">
        <v>160</v>
      </c>
      <c r="E52" s="2" t="s">
        <v>193</v>
      </c>
      <c r="F52" s="23">
        <v>4088</v>
      </c>
      <c r="G52" s="23">
        <v>1592</v>
      </c>
      <c r="H52" s="24">
        <v>0.38943248532289598</v>
      </c>
      <c r="I52" s="24">
        <v>0.37769929399999902</v>
      </c>
      <c r="J52" s="58">
        <v>2023</v>
      </c>
      <c r="K52" s="58">
        <v>722</v>
      </c>
      <c r="L52" s="24">
        <v>0.35689569945625299</v>
      </c>
      <c r="N52" s="2" t="s">
        <v>161</v>
      </c>
      <c r="O52" s="2" t="s">
        <v>162</v>
      </c>
      <c r="P52" s="2" t="s">
        <v>27</v>
      </c>
      <c r="Q52" s="2" t="s">
        <v>67</v>
      </c>
      <c r="R52" s="23">
        <v>46</v>
      </c>
      <c r="S52" s="23">
        <v>22</v>
      </c>
      <c r="T52" s="24">
        <v>0.47826086956521702</v>
      </c>
      <c r="U52" s="14" t="str">
        <f>VLOOKUP(flu_staff[[#This Row],[trust_code]],trust_lookup[],3,0)</f>
        <v>RNOH</v>
      </c>
      <c r="W52" s="2" t="s">
        <v>136</v>
      </c>
      <c r="X52" s="2" t="s">
        <v>137</v>
      </c>
      <c r="Y52" s="2" t="s">
        <v>27</v>
      </c>
      <c r="Z52" s="2" t="s">
        <v>100</v>
      </c>
      <c r="AA52" s="23">
        <v>185</v>
      </c>
      <c r="AB52" s="23">
        <v>76</v>
      </c>
      <c r="AC52" s="24">
        <v>0.41081081081081</v>
      </c>
      <c r="AD52" s="14" t="str">
        <f>VLOOKUP(flu_eth_ep[[#This Row],[trust_code]],trust_lookup[],3,0)</f>
        <v>Moorfields</v>
      </c>
      <c r="AE52" s="14" t="str">
        <f>VLOOKUP(flu_eth_ep[[#This Row],[trust_code]],trust_lookup[],4,0)</f>
        <v>Specialist</v>
      </c>
    </row>
    <row r="53" spans="2:31" x14ac:dyDescent="0.35">
      <c r="B53" s="2" t="s">
        <v>62</v>
      </c>
      <c r="C53" s="2" t="s">
        <v>63</v>
      </c>
      <c r="D53" s="2" t="s">
        <v>160</v>
      </c>
      <c r="E53" s="2" t="s">
        <v>194</v>
      </c>
      <c r="F53" s="23">
        <v>3345</v>
      </c>
      <c r="G53" s="23">
        <v>1350</v>
      </c>
      <c r="H53" s="24">
        <v>0.40358744394618801</v>
      </c>
      <c r="I53" s="24">
        <v>0.45672782899999997</v>
      </c>
      <c r="J53" s="58">
        <v>1177</v>
      </c>
      <c r="K53" s="58">
        <v>442</v>
      </c>
      <c r="L53" s="24">
        <v>0.37553101104502901</v>
      </c>
      <c r="N53" s="2" t="s">
        <v>161</v>
      </c>
      <c r="O53" s="2" t="s">
        <v>162</v>
      </c>
      <c r="P53" s="2" t="s">
        <v>27</v>
      </c>
      <c r="Q53" s="2" t="s">
        <v>53</v>
      </c>
      <c r="R53" s="23">
        <v>403</v>
      </c>
      <c r="S53" s="23">
        <v>149</v>
      </c>
      <c r="T53" s="24">
        <v>0.36972704714640198</v>
      </c>
      <c r="U53" s="14" t="str">
        <f>VLOOKUP(flu_staff[[#This Row],[trust_code]],trust_lookup[],3,0)</f>
        <v>RNOH</v>
      </c>
      <c r="W53" s="2" t="s">
        <v>136</v>
      </c>
      <c r="X53" s="2" t="s">
        <v>137</v>
      </c>
      <c r="Y53" s="2" t="s">
        <v>27</v>
      </c>
      <c r="Z53" s="2" t="s">
        <v>129</v>
      </c>
      <c r="AA53" s="23">
        <v>6</v>
      </c>
      <c r="AB53" s="23">
        <v>4</v>
      </c>
      <c r="AC53" s="24">
        <v>0.66666666666666596</v>
      </c>
      <c r="AD53" s="14" t="str">
        <f>VLOOKUP(flu_eth_ep[[#This Row],[trust_code]],trust_lookup[],3,0)</f>
        <v>Moorfields</v>
      </c>
      <c r="AE53" s="14" t="str">
        <f>VLOOKUP(flu_eth_ep[[#This Row],[trust_code]],trust_lookup[],4,0)</f>
        <v>Specialist</v>
      </c>
    </row>
    <row r="54" spans="2:31" x14ac:dyDescent="0.35">
      <c r="B54" s="2" t="s">
        <v>76</v>
      </c>
      <c r="C54" s="2" t="s">
        <v>77</v>
      </c>
      <c r="D54" s="2" t="s">
        <v>160</v>
      </c>
      <c r="E54" s="2" t="s">
        <v>194</v>
      </c>
      <c r="F54" s="23">
        <v>5934</v>
      </c>
      <c r="G54" s="23">
        <v>2649</v>
      </c>
      <c r="H54" s="24">
        <v>0.44641051567239598</v>
      </c>
      <c r="I54" s="24">
        <v>0.463787055</v>
      </c>
      <c r="J54" s="58">
        <v>1219</v>
      </c>
      <c r="K54" s="58">
        <v>548</v>
      </c>
      <c r="L54" s="24">
        <v>0.44954881050041001</v>
      </c>
      <c r="N54" s="2" t="s">
        <v>161</v>
      </c>
      <c r="O54" s="2" t="s">
        <v>162</v>
      </c>
      <c r="P54" s="2" t="s">
        <v>27</v>
      </c>
      <c r="Q54" s="2" t="s">
        <v>28</v>
      </c>
      <c r="R54" s="23">
        <v>8</v>
      </c>
      <c r="S54" s="23">
        <v>5</v>
      </c>
      <c r="T54" s="24">
        <v>0.625</v>
      </c>
      <c r="U54" s="14" t="str">
        <f>VLOOKUP(flu_staff[[#This Row],[trust_code]],trust_lookup[],3,0)</f>
        <v>RNOH</v>
      </c>
      <c r="W54" s="2" t="s">
        <v>136</v>
      </c>
      <c r="X54" s="2" t="s">
        <v>137</v>
      </c>
      <c r="Y54" s="2" t="s">
        <v>27</v>
      </c>
      <c r="Z54" s="2" t="s">
        <v>75</v>
      </c>
      <c r="AA54" s="23">
        <v>52</v>
      </c>
      <c r="AB54" s="23">
        <v>25</v>
      </c>
      <c r="AC54" s="24">
        <v>0.48076923076923</v>
      </c>
      <c r="AD54" s="14" t="str">
        <f>VLOOKUP(flu_eth_ep[[#This Row],[trust_code]],trust_lookup[],3,0)</f>
        <v>Moorfields</v>
      </c>
      <c r="AE54" s="14" t="str">
        <f>VLOOKUP(flu_eth_ep[[#This Row],[trust_code]],trust_lookup[],4,0)</f>
        <v>Specialist</v>
      </c>
    </row>
    <row r="55" spans="2:31" x14ac:dyDescent="0.35">
      <c r="B55" s="2" t="s">
        <v>113</v>
      </c>
      <c r="C55" s="2" t="s">
        <v>114</v>
      </c>
      <c r="D55" s="2" t="s">
        <v>160</v>
      </c>
      <c r="E55" s="2" t="s">
        <v>194</v>
      </c>
      <c r="F55" s="23">
        <v>3801</v>
      </c>
      <c r="G55" s="23">
        <v>1759</v>
      </c>
      <c r="H55" s="24">
        <v>0.46277295448566103</v>
      </c>
      <c r="I55" s="24">
        <v>0.486503719</v>
      </c>
      <c r="J55" s="58">
        <v>1128</v>
      </c>
      <c r="K55" s="58">
        <v>470</v>
      </c>
      <c r="L55" s="24">
        <v>0.41666666666666602</v>
      </c>
      <c r="N55" s="2" t="s">
        <v>161</v>
      </c>
      <c r="O55" s="2" t="s">
        <v>162</v>
      </c>
      <c r="P55" s="2" t="s">
        <v>27</v>
      </c>
      <c r="Q55" s="2" t="s">
        <v>60</v>
      </c>
      <c r="R55" s="23">
        <v>158</v>
      </c>
      <c r="S55" s="23">
        <v>80</v>
      </c>
      <c r="T55" s="24">
        <v>0.50632911392405</v>
      </c>
      <c r="U55" s="14" t="str">
        <f>VLOOKUP(flu_staff[[#This Row],[trust_code]],trust_lookup[],3,0)</f>
        <v>RNOH</v>
      </c>
      <c r="W55" s="2" t="s">
        <v>136</v>
      </c>
      <c r="X55" s="2" t="s">
        <v>137</v>
      </c>
      <c r="Y55" s="2" t="s">
        <v>27</v>
      </c>
      <c r="Z55" s="2" t="s">
        <v>29</v>
      </c>
      <c r="AA55" s="23">
        <v>43</v>
      </c>
      <c r="AB55" s="23">
        <v>24</v>
      </c>
      <c r="AC55" s="24">
        <v>0.55813953488372003</v>
      </c>
      <c r="AD55" s="14" t="str">
        <f>VLOOKUP(flu_eth_ep[[#This Row],[trust_code]],trust_lookup[],3,0)</f>
        <v>Moorfields</v>
      </c>
      <c r="AE55" s="14" t="str">
        <f>VLOOKUP(flu_eth_ep[[#This Row],[trust_code]],trust_lookup[],4,0)</f>
        <v>Specialist</v>
      </c>
    </row>
    <row r="56" spans="2:31" x14ac:dyDescent="0.35">
      <c r="B56" s="2" t="s">
        <v>167</v>
      </c>
      <c r="C56" s="2" t="s">
        <v>168</v>
      </c>
      <c r="D56" s="2" t="s">
        <v>160</v>
      </c>
      <c r="E56" s="2" t="s">
        <v>194</v>
      </c>
      <c r="F56" s="23">
        <v>2454</v>
      </c>
      <c r="G56" s="23">
        <v>861</v>
      </c>
      <c r="H56" s="24">
        <v>0.35085574572127098</v>
      </c>
      <c r="I56" s="24">
        <v>0.34144274499999999</v>
      </c>
      <c r="J56" s="58">
        <v>1182</v>
      </c>
      <c r="K56" s="58">
        <v>400</v>
      </c>
      <c r="L56" s="24">
        <v>0.33840947546531303</v>
      </c>
      <c r="N56" s="2" t="s">
        <v>161</v>
      </c>
      <c r="O56" s="2" t="s">
        <v>162</v>
      </c>
      <c r="P56" s="2" t="s">
        <v>27</v>
      </c>
      <c r="Q56" s="2" t="s">
        <v>74</v>
      </c>
      <c r="R56" s="23">
        <v>16</v>
      </c>
      <c r="S56" s="23">
        <v>10</v>
      </c>
      <c r="T56" s="24">
        <v>0.625</v>
      </c>
      <c r="U56" s="14" t="str">
        <f>VLOOKUP(flu_staff[[#This Row],[trust_code]],trust_lookup[],3,0)</f>
        <v>RNOH</v>
      </c>
      <c r="W56" s="2" t="s">
        <v>136</v>
      </c>
      <c r="X56" s="2" t="s">
        <v>137</v>
      </c>
      <c r="Y56" s="2" t="s">
        <v>27</v>
      </c>
      <c r="Z56" s="2" t="s">
        <v>82</v>
      </c>
      <c r="AA56" s="23">
        <v>45</v>
      </c>
      <c r="AB56" s="23">
        <v>15</v>
      </c>
      <c r="AC56" s="24">
        <v>0.33333333333333298</v>
      </c>
      <c r="AD56" s="14" t="str">
        <f>VLOOKUP(flu_eth_ep[[#This Row],[trust_code]],trust_lookup[],3,0)</f>
        <v>Moorfields</v>
      </c>
      <c r="AE56" s="14" t="str">
        <f>VLOOKUP(flu_eth_ep[[#This Row],[trust_code]],trust_lookup[],4,0)</f>
        <v>Specialist</v>
      </c>
    </row>
    <row r="57" spans="2:31" x14ac:dyDescent="0.35">
      <c r="B57" s="2" t="s">
        <v>170</v>
      </c>
      <c r="C57" s="2" t="s">
        <v>171</v>
      </c>
      <c r="D57" s="2" t="s">
        <v>160</v>
      </c>
      <c r="E57" s="2" t="s">
        <v>194</v>
      </c>
      <c r="F57" s="23">
        <v>6877</v>
      </c>
      <c r="G57" s="23">
        <v>2835</v>
      </c>
      <c r="H57" s="24">
        <v>0.41224371092045897</v>
      </c>
      <c r="I57" s="24">
        <v>0.46521953999999999</v>
      </c>
      <c r="J57" s="58">
        <v>2989</v>
      </c>
      <c r="K57" s="58">
        <v>1111</v>
      </c>
      <c r="L57" s="24">
        <v>0.37169621947139497</v>
      </c>
      <c r="N57" s="2" t="s">
        <v>173</v>
      </c>
      <c r="O57" s="2" t="s">
        <v>174</v>
      </c>
      <c r="P57" s="2" t="s">
        <v>27</v>
      </c>
      <c r="Q57" s="2" t="s">
        <v>67</v>
      </c>
      <c r="R57" s="23">
        <v>211</v>
      </c>
      <c r="S57" s="23">
        <v>96</v>
      </c>
      <c r="T57" s="24">
        <v>0.45497630331753502</v>
      </c>
      <c r="U57" s="14" t="str">
        <f>VLOOKUP(flu_staff[[#This Row],[trust_code]],trust_lookup[],3,0)</f>
        <v>T&amp;P</v>
      </c>
      <c r="W57" s="2" t="s">
        <v>136</v>
      </c>
      <c r="X57" s="2" t="s">
        <v>137</v>
      </c>
      <c r="Y57" s="2" t="s">
        <v>27</v>
      </c>
      <c r="Z57" s="2" t="s">
        <v>112</v>
      </c>
      <c r="AA57" s="23">
        <v>169</v>
      </c>
      <c r="AB57" s="23">
        <v>89</v>
      </c>
      <c r="AC57" s="24">
        <v>0.52662721893491105</v>
      </c>
      <c r="AD57" s="14" t="str">
        <f>VLOOKUP(flu_eth_ep[[#This Row],[trust_code]],trust_lookup[],3,0)</f>
        <v>Moorfields</v>
      </c>
      <c r="AE57" s="14" t="str">
        <f>VLOOKUP(flu_eth_ep[[#This Row],[trust_code]],trust_lookup[],4,0)</f>
        <v>Specialist</v>
      </c>
    </row>
    <row r="58" spans="2:31" x14ac:dyDescent="0.35">
      <c r="B58" s="2" t="s">
        <v>179</v>
      </c>
      <c r="C58" s="2" t="s">
        <v>180</v>
      </c>
      <c r="D58" s="2" t="s">
        <v>160</v>
      </c>
      <c r="E58" s="2" t="s">
        <v>194</v>
      </c>
      <c r="F58" s="23">
        <v>3385</v>
      </c>
      <c r="G58" s="23">
        <v>1581</v>
      </c>
      <c r="H58" s="24">
        <v>0.46706056129985202</v>
      </c>
      <c r="I58" s="24">
        <v>0.483480454</v>
      </c>
      <c r="J58" s="58">
        <v>1538</v>
      </c>
      <c r="K58" s="58">
        <v>603</v>
      </c>
      <c r="L58" s="24">
        <v>0.39206762028608499</v>
      </c>
      <c r="N58" s="2" t="s">
        <v>173</v>
      </c>
      <c r="O58" s="2" t="s">
        <v>174</v>
      </c>
      <c r="P58" s="2" t="s">
        <v>27</v>
      </c>
      <c r="Q58" s="2" t="s">
        <v>46</v>
      </c>
      <c r="R58" s="23">
        <v>27</v>
      </c>
      <c r="S58" s="23">
        <v>9</v>
      </c>
      <c r="T58" s="24">
        <v>0.33333333333333298</v>
      </c>
      <c r="U58" s="14" t="str">
        <f>VLOOKUP(flu_staff[[#This Row],[trust_code]],trust_lookup[],3,0)</f>
        <v>T&amp;P</v>
      </c>
      <c r="W58" s="2" t="s">
        <v>136</v>
      </c>
      <c r="X58" s="2" t="s">
        <v>137</v>
      </c>
      <c r="Y58" s="2" t="s">
        <v>27</v>
      </c>
      <c r="Z58" s="2" t="s">
        <v>36</v>
      </c>
      <c r="AA58" s="23">
        <v>4</v>
      </c>
      <c r="AB58" s="23">
        <v>1</v>
      </c>
      <c r="AC58" s="24">
        <v>0.25</v>
      </c>
      <c r="AD58" s="14" t="str">
        <f>VLOOKUP(flu_eth_ep[[#This Row],[trust_code]],trust_lookup[],3,0)</f>
        <v>Moorfields</v>
      </c>
      <c r="AE58" s="14" t="str">
        <f>VLOOKUP(flu_eth_ep[[#This Row],[trust_code]],trust_lookup[],4,0)</f>
        <v>Specialist</v>
      </c>
    </row>
    <row r="59" spans="2:31" x14ac:dyDescent="0.35">
      <c r="B59" s="2" t="s">
        <v>195</v>
      </c>
      <c r="C59" s="2" t="s">
        <v>196</v>
      </c>
      <c r="D59" s="2" t="s">
        <v>197</v>
      </c>
      <c r="E59" s="2" t="s">
        <v>24</v>
      </c>
      <c r="F59" s="23">
        <v>4339</v>
      </c>
      <c r="G59" s="23">
        <v>1878</v>
      </c>
      <c r="H59" s="24">
        <v>0.432818621802258</v>
      </c>
      <c r="I59" s="24">
        <v>0.43215210700000001</v>
      </c>
      <c r="J59" s="58">
        <v>1464</v>
      </c>
      <c r="K59" s="58">
        <v>621</v>
      </c>
      <c r="L59" s="24">
        <v>0.42418032786885201</v>
      </c>
      <c r="N59" s="2" t="s">
        <v>173</v>
      </c>
      <c r="O59" s="2" t="s">
        <v>174</v>
      </c>
      <c r="P59" s="2" t="s">
        <v>27</v>
      </c>
      <c r="Q59" s="2" t="s">
        <v>81</v>
      </c>
      <c r="R59" s="23">
        <v>247</v>
      </c>
      <c r="S59" s="23">
        <v>108</v>
      </c>
      <c r="T59" s="24">
        <v>0.437246963562753</v>
      </c>
      <c r="U59" s="14" t="str">
        <f>VLOOKUP(flu_staff[[#This Row],[trust_code]],trust_lookup[],3,0)</f>
        <v>T&amp;P</v>
      </c>
      <c r="W59" s="2" t="s">
        <v>147</v>
      </c>
      <c r="X59" s="2" t="s">
        <v>148</v>
      </c>
      <c r="Y59" s="2" t="s">
        <v>27</v>
      </c>
      <c r="Z59" s="2" t="s">
        <v>82</v>
      </c>
      <c r="AA59" s="23">
        <v>65</v>
      </c>
      <c r="AB59" s="23">
        <v>15</v>
      </c>
      <c r="AC59" s="24">
        <v>0.23076923076923</v>
      </c>
      <c r="AD59" s="14" t="str">
        <f>VLOOKUP(flu_eth_ep[[#This Row],[trust_code]],trust_lookup[],3,0)</f>
        <v>North London</v>
      </c>
      <c r="AE59" s="14" t="str">
        <f>VLOOKUP(flu_eth_ep[[#This Row],[trust_code]],trust_lookup[],4,0)</f>
        <v>Mental Health</v>
      </c>
    </row>
    <row r="60" spans="2:31" x14ac:dyDescent="0.35">
      <c r="B60" s="2" t="s">
        <v>198</v>
      </c>
      <c r="C60" s="2" t="s">
        <v>199</v>
      </c>
      <c r="D60" s="2" t="s">
        <v>197</v>
      </c>
      <c r="E60" s="2" t="s">
        <v>24</v>
      </c>
      <c r="F60" s="23">
        <v>4861</v>
      </c>
      <c r="G60" s="23">
        <v>2257</v>
      </c>
      <c r="H60" s="24">
        <v>0.46430775560584198</v>
      </c>
      <c r="I60" s="24">
        <v>0.46547064299999902</v>
      </c>
      <c r="J60" s="58">
        <v>1628</v>
      </c>
      <c r="K60" s="58">
        <v>650</v>
      </c>
      <c r="L60" s="24">
        <v>0.39926289926289898</v>
      </c>
      <c r="N60" s="2" t="s">
        <v>173</v>
      </c>
      <c r="O60" s="2" t="s">
        <v>174</v>
      </c>
      <c r="P60" s="2" t="s">
        <v>27</v>
      </c>
      <c r="Q60" s="2" t="s">
        <v>53</v>
      </c>
      <c r="R60" s="23">
        <v>17</v>
      </c>
      <c r="S60" s="23">
        <v>9</v>
      </c>
      <c r="T60" s="24">
        <v>0.52941176470588203</v>
      </c>
      <c r="U60" s="14" t="str">
        <f>VLOOKUP(flu_staff[[#This Row],[trust_code]],trust_lookup[],3,0)</f>
        <v>T&amp;P</v>
      </c>
      <c r="W60" s="2" t="s">
        <v>147</v>
      </c>
      <c r="X60" s="2" t="s">
        <v>148</v>
      </c>
      <c r="Y60" s="2" t="s">
        <v>27</v>
      </c>
      <c r="Z60" s="2" t="s">
        <v>36</v>
      </c>
      <c r="AA60" s="23">
        <v>3</v>
      </c>
      <c r="AB60" s="23">
        <v>0</v>
      </c>
      <c r="AC60" s="24">
        <v>0</v>
      </c>
      <c r="AD60" s="14" t="str">
        <f>VLOOKUP(flu_eth_ep[[#This Row],[trust_code]],trust_lookup[],3,0)</f>
        <v>North London</v>
      </c>
      <c r="AE60" s="14" t="str">
        <f>VLOOKUP(flu_eth_ep[[#This Row],[trust_code]],trust_lookup[],4,0)</f>
        <v>Mental Health</v>
      </c>
    </row>
    <row r="61" spans="2:31" x14ac:dyDescent="0.35">
      <c r="B61" s="2" t="s">
        <v>200</v>
      </c>
      <c r="C61" s="2" t="s">
        <v>201</v>
      </c>
      <c r="D61" s="2" t="s">
        <v>197</v>
      </c>
      <c r="E61" s="2" t="s">
        <v>24</v>
      </c>
      <c r="F61" s="23">
        <v>926</v>
      </c>
      <c r="G61" s="23">
        <v>402</v>
      </c>
      <c r="H61" s="24">
        <v>0.43412526997840101</v>
      </c>
      <c r="I61" s="24">
        <v>0.38851674599999902</v>
      </c>
      <c r="J61" s="58">
        <v>537</v>
      </c>
      <c r="K61" s="58">
        <v>220</v>
      </c>
      <c r="L61" s="24">
        <v>0.40968342644320299</v>
      </c>
      <c r="N61" s="2" t="s">
        <v>173</v>
      </c>
      <c r="O61" s="2" t="s">
        <v>174</v>
      </c>
      <c r="P61" s="2" t="s">
        <v>27</v>
      </c>
      <c r="Q61" s="2" t="s">
        <v>42</v>
      </c>
      <c r="R61" s="23">
        <v>54</v>
      </c>
      <c r="S61" s="23">
        <v>29</v>
      </c>
      <c r="T61" s="24">
        <v>0.53703703703703698</v>
      </c>
      <c r="U61" s="14" t="str">
        <f>VLOOKUP(flu_staff[[#This Row],[trust_code]],trust_lookup[],3,0)</f>
        <v>T&amp;P</v>
      </c>
      <c r="W61" s="2" t="s">
        <v>147</v>
      </c>
      <c r="X61" s="2" t="s">
        <v>148</v>
      </c>
      <c r="Y61" s="2" t="s">
        <v>27</v>
      </c>
      <c r="Z61" s="2" t="s">
        <v>54</v>
      </c>
      <c r="AA61" s="23">
        <v>615</v>
      </c>
      <c r="AB61" s="23">
        <v>186</v>
      </c>
      <c r="AC61" s="24">
        <v>0.30243902439024301</v>
      </c>
      <c r="AD61" s="14" t="str">
        <f>VLOOKUP(flu_eth_ep[[#This Row],[trust_code]],trust_lookup[],3,0)</f>
        <v>North London</v>
      </c>
      <c r="AE61" s="14" t="str">
        <f>VLOOKUP(flu_eth_ep[[#This Row],[trust_code]],trust_lookup[],4,0)</f>
        <v>Mental Health</v>
      </c>
    </row>
    <row r="62" spans="2:31" x14ac:dyDescent="0.35">
      <c r="B62" s="2" t="s">
        <v>202</v>
      </c>
      <c r="C62" s="2" t="s">
        <v>203</v>
      </c>
      <c r="D62" s="2" t="s">
        <v>197</v>
      </c>
      <c r="E62" s="2" t="s">
        <v>24</v>
      </c>
      <c r="F62" s="23">
        <v>24301</v>
      </c>
      <c r="G62" s="23">
        <v>8171</v>
      </c>
      <c r="H62" s="24">
        <v>0.33624130694210103</v>
      </c>
      <c r="I62" s="24">
        <v>0.17828574999999999</v>
      </c>
      <c r="J62" s="58">
        <v>5444</v>
      </c>
      <c r="K62" s="58">
        <v>1587</v>
      </c>
      <c r="L62" s="24">
        <v>0.29151359294636298</v>
      </c>
      <c r="N62" s="2" t="s">
        <v>173</v>
      </c>
      <c r="O62" s="2" t="s">
        <v>174</v>
      </c>
      <c r="P62" s="2" t="s">
        <v>27</v>
      </c>
      <c r="Q62" s="2" t="s">
        <v>35</v>
      </c>
      <c r="R62" s="23">
        <v>34</v>
      </c>
      <c r="S62" s="23">
        <v>14</v>
      </c>
      <c r="T62" s="24">
        <v>0.41176470588235198</v>
      </c>
      <c r="U62" s="14" t="str">
        <f>VLOOKUP(flu_staff[[#This Row],[trust_code]],trust_lookup[],3,0)</f>
        <v>T&amp;P</v>
      </c>
      <c r="W62" s="2" t="s">
        <v>147</v>
      </c>
      <c r="X62" s="2" t="s">
        <v>148</v>
      </c>
      <c r="Y62" s="2" t="s">
        <v>27</v>
      </c>
      <c r="Z62" s="2" t="s">
        <v>100</v>
      </c>
      <c r="AA62" s="23">
        <v>1051</v>
      </c>
      <c r="AB62" s="23">
        <v>283</v>
      </c>
      <c r="AC62" s="24">
        <v>0.269267364414843</v>
      </c>
      <c r="AD62" s="14" t="str">
        <f>VLOOKUP(flu_eth_ep[[#This Row],[trust_code]],trust_lookup[],3,0)</f>
        <v>North London</v>
      </c>
      <c r="AE62" s="14" t="str">
        <f>VLOOKUP(flu_eth_ep[[#This Row],[trust_code]],trust_lookup[],4,0)</f>
        <v>Mental Health</v>
      </c>
    </row>
    <row r="63" spans="2:31" x14ac:dyDescent="0.35">
      <c r="B63" s="2" t="s">
        <v>204</v>
      </c>
      <c r="C63" s="2" t="s">
        <v>205</v>
      </c>
      <c r="D63" s="2" t="s">
        <v>197</v>
      </c>
      <c r="E63" s="2" t="s">
        <v>24</v>
      </c>
      <c r="F63" s="23">
        <v>4716</v>
      </c>
      <c r="G63" s="23">
        <v>1453</v>
      </c>
      <c r="H63" s="24">
        <v>0.30810008481764201</v>
      </c>
      <c r="I63" s="24">
        <v>0.31273703399999903</v>
      </c>
      <c r="J63" s="58">
        <v>2505</v>
      </c>
      <c r="K63" s="58">
        <v>799</v>
      </c>
      <c r="L63" s="24">
        <v>0.31896207584830299</v>
      </c>
      <c r="N63" s="2" t="s">
        <v>173</v>
      </c>
      <c r="O63" s="2" t="s">
        <v>174</v>
      </c>
      <c r="P63" s="2" t="s">
        <v>27</v>
      </c>
      <c r="Q63" s="2" t="s">
        <v>28</v>
      </c>
      <c r="R63" s="23">
        <v>6</v>
      </c>
      <c r="S63" s="23">
        <v>1</v>
      </c>
      <c r="T63" s="24">
        <v>0.16666666666666599</v>
      </c>
      <c r="U63" s="14" t="str">
        <f>VLOOKUP(flu_staff[[#This Row],[trust_code]],trust_lookup[],3,0)</f>
        <v>T&amp;P</v>
      </c>
      <c r="W63" s="2" t="s">
        <v>147</v>
      </c>
      <c r="X63" s="2" t="s">
        <v>148</v>
      </c>
      <c r="Y63" s="2" t="s">
        <v>27</v>
      </c>
      <c r="Z63" s="2" t="s">
        <v>94</v>
      </c>
      <c r="AA63" s="23">
        <v>36</v>
      </c>
      <c r="AB63" s="23">
        <v>21</v>
      </c>
      <c r="AC63" s="24">
        <v>0.58333333333333304</v>
      </c>
      <c r="AD63" s="14" t="str">
        <f>VLOOKUP(flu_eth_ep[[#This Row],[trust_code]],trust_lookup[],3,0)</f>
        <v>North London</v>
      </c>
      <c r="AE63" s="14" t="str">
        <f>VLOOKUP(flu_eth_ep[[#This Row],[trust_code]],trust_lookup[],4,0)</f>
        <v>Mental Health</v>
      </c>
    </row>
    <row r="64" spans="2:31" x14ac:dyDescent="0.35">
      <c r="B64" s="2" t="s">
        <v>206</v>
      </c>
      <c r="C64" s="2" t="s">
        <v>207</v>
      </c>
      <c r="D64" s="2" t="s">
        <v>197</v>
      </c>
      <c r="E64" s="2" t="s">
        <v>24</v>
      </c>
      <c r="F64" s="23">
        <v>2767</v>
      </c>
      <c r="G64" s="23">
        <v>955</v>
      </c>
      <c r="H64" s="24">
        <v>0.34513913986266698</v>
      </c>
      <c r="I64" s="24">
        <v>0.38773265699999998</v>
      </c>
      <c r="J64" s="58">
        <v>1335</v>
      </c>
      <c r="K64" s="58">
        <v>569</v>
      </c>
      <c r="L64" s="24">
        <v>0.42621722846441901</v>
      </c>
      <c r="N64" s="2" t="s">
        <v>173</v>
      </c>
      <c r="O64" s="2" t="s">
        <v>174</v>
      </c>
      <c r="P64" s="2" t="s">
        <v>27</v>
      </c>
      <c r="Q64" s="2" t="s">
        <v>60</v>
      </c>
      <c r="R64" s="23">
        <v>8</v>
      </c>
      <c r="S64" s="23">
        <v>3</v>
      </c>
      <c r="T64" s="24">
        <v>0.375</v>
      </c>
      <c r="U64" s="14" t="str">
        <f>VLOOKUP(flu_staff[[#This Row],[trust_code]],trust_lookup[],3,0)</f>
        <v>T&amp;P</v>
      </c>
      <c r="W64" s="2" t="s">
        <v>147</v>
      </c>
      <c r="X64" s="2" t="s">
        <v>148</v>
      </c>
      <c r="Y64" s="2" t="s">
        <v>27</v>
      </c>
      <c r="Z64" s="2" t="s">
        <v>29</v>
      </c>
      <c r="AA64" s="23">
        <v>87</v>
      </c>
      <c r="AB64" s="23">
        <v>30</v>
      </c>
      <c r="AC64" s="24">
        <v>0.34482758620689602</v>
      </c>
      <c r="AD64" s="14" t="str">
        <f>VLOOKUP(flu_eth_ep[[#This Row],[trust_code]],trust_lookup[],3,0)</f>
        <v>North London</v>
      </c>
      <c r="AE64" s="14" t="str">
        <f>VLOOKUP(flu_eth_ep[[#This Row],[trust_code]],trust_lookup[],4,0)</f>
        <v>Mental Health</v>
      </c>
    </row>
    <row r="65" spans="2:31" x14ac:dyDescent="0.35">
      <c r="B65" s="2" t="s">
        <v>208</v>
      </c>
      <c r="C65" s="2" t="s">
        <v>209</v>
      </c>
      <c r="D65" s="2" t="s">
        <v>197</v>
      </c>
      <c r="E65" s="2" t="s">
        <v>24</v>
      </c>
      <c r="F65" s="23">
        <v>7245</v>
      </c>
      <c r="G65" s="23">
        <v>2081</v>
      </c>
      <c r="H65" s="24">
        <v>0.28723257418909498</v>
      </c>
      <c r="I65" s="24">
        <v>0.36155378500000002</v>
      </c>
      <c r="J65" s="58">
        <v>1663</v>
      </c>
      <c r="K65" s="58">
        <v>515</v>
      </c>
      <c r="L65" s="24">
        <v>0.30968129885748602</v>
      </c>
      <c r="N65" s="2" t="s">
        <v>182</v>
      </c>
      <c r="O65" s="2" t="s">
        <v>183</v>
      </c>
      <c r="P65" s="2" t="s">
        <v>27</v>
      </c>
      <c r="Q65" s="2" t="s">
        <v>74</v>
      </c>
      <c r="R65" s="23">
        <v>322</v>
      </c>
      <c r="S65" s="23">
        <v>157</v>
      </c>
      <c r="T65" s="24">
        <v>0.48757763975155199</v>
      </c>
      <c r="U65" s="14" t="str">
        <f>VLOOKUP(flu_staff[[#This Row],[trust_code]],trust_lookup[],3,0)</f>
        <v>UCLH</v>
      </c>
      <c r="W65" s="2" t="s">
        <v>147</v>
      </c>
      <c r="X65" s="2" t="s">
        <v>148</v>
      </c>
      <c r="Y65" s="2" t="s">
        <v>27</v>
      </c>
      <c r="Z65" s="2" t="s">
        <v>141</v>
      </c>
      <c r="AA65" s="23">
        <v>233</v>
      </c>
      <c r="AB65" s="23">
        <v>69</v>
      </c>
      <c r="AC65" s="24">
        <v>0.29613733905579398</v>
      </c>
      <c r="AD65" s="14" t="str">
        <f>VLOOKUP(flu_eth_ep[[#This Row],[trust_code]],trust_lookup[],3,0)</f>
        <v>North London</v>
      </c>
      <c r="AE65" s="14" t="str">
        <f>VLOOKUP(flu_eth_ep[[#This Row],[trust_code]],trust_lookup[],4,0)</f>
        <v>Mental Health</v>
      </c>
    </row>
    <row r="66" spans="2:31" x14ac:dyDescent="0.35">
      <c r="B66" s="2" t="s">
        <v>210</v>
      </c>
      <c r="C66" s="2" t="s">
        <v>211</v>
      </c>
      <c r="D66" s="2" t="s">
        <v>197</v>
      </c>
      <c r="E66" s="2" t="s">
        <v>24</v>
      </c>
      <c r="F66" s="23">
        <v>5302</v>
      </c>
      <c r="G66" s="23">
        <v>2022</v>
      </c>
      <c r="H66" s="24">
        <v>0.38136552244436001</v>
      </c>
      <c r="I66" s="24">
        <v>0.37625942099999998</v>
      </c>
      <c r="J66" s="58">
        <v>1172</v>
      </c>
      <c r="K66" s="58">
        <v>479</v>
      </c>
      <c r="L66" s="24">
        <v>0.40870307167235398</v>
      </c>
      <c r="N66" s="2" t="s">
        <v>182</v>
      </c>
      <c r="O66" s="2" t="s">
        <v>183</v>
      </c>
      <c r="P66" s="2" t="s">
        <v>27</v>
      </c>
      <c r="Q66" s="2" t="s">
        <v>81</v>
      </c>
      <c r="R66" s="23">
        <v>1091</v>
      </c>
      <c r="S66" s="23">
        <v>343</v>
      </c>
      <c r="T66" s="24">
        <v>0.31439046746104399</v>
      </c>
      <c r="U66" s="14" t="str">
        <f>VLOOKUP(flu_staff[[#This Row],[trust_code]],trust_lookup[],3,0)</f>
        <v>UCLH</v>
      </c>
      <c r="W66" s="2" t="s">
        <v>147</v>
      </c>
      <c r="X66" s="2" t="s">
        <v>148</v>
      </c>
      <c r="Y66" s="2" t="s">
        <v>27</v>
      </c>
      <c r="Z66" s="2" t="s">
        <v>135</v>
      </c>
      <c r="AA66" s="23">
        <v>71</v>
      </c>
      <c r="AB66" s="23">
        <v>32</v>
      </c>
      <c r="AC66" s="24">
        <v>0.45070422535211202</v>
      </c>
      <c r="AD66" s="14" t="str">
        <f>VLOOKUP(flu_eth_ep[[#This Row],[trust_code]],trust_lookup[],3,0)</f>
        <v>North London</v>
      </c>
      <c r="AE66" s="14" t="str">
        <f>VLOOKUP(flu_eth_ep[[#This Row],[trust_code]],trust_lookup[],4,0)</f>
        <v>Mental Health</v>
      </c>
    </row>
    <row r="67" spans="2:31" x14ac:dyDescent="0.35">
      <c r="B67" s="2" t="s">
        <v>212</v>
      </c>
      <c r="C67" s="2" t="s">
        <v>213</v>
      </c>
      <c r="D67" s="2" t="s">
        <v>197</v>
      </c>
      <c r="E67" s="2" t="s">
        <v>24</v>
      </c>
      <c r="F67" s="23">
        <v>7535</v>
      </c>
      <c r="G67" s="23">
        <v>2890</v>
      </c>
      <c r="H67" s="24">
        <v>0.38354346383543397</v>
      </c>
      <c r="I67" s="24">
        <v>0.40671950400000001</v>
      </c>
      <c r="J67" s="58">
        <v>3777</v>
      </c>
      <c r="K67" s="58">
        <v>1389</v>
      </c>
      <c r="L67" s="24">
        <v>0.36775218427323197</v>
      </c>
      <c r="N67" s="2" t="s">
        <v>182</v>
      </c>
      <c r="O67" s="2" t="s">
        <v>183</v>
      </c>
      <c r="P67" s="2" t="s">
        <v>27</v>
      </c>
      <c r="Q67" s="2" t="s">
        <v>42</v>
      </c>
      <c r="R67" s="23">
        <v>2606</v>
      </c>
      <c r="S67" s="23">
        <v>1355</v>
      </c>
      <c r="T67" s="24">
        <v>0.51995395241749798</v>
      </c>
      <c r="U67" s="14" t="str">
        <f>VLOOKUP(flu_staff[[#This Row],[trust_code]],trust_lookup[],3,0)</f>
        <v>UCLH</v>
      </c>
      <c r="W67" s="2" t="s">
        <v>147</v>
      </c>
      <c r="X67" s="2" t="s">
        <v>148</v>
      </c>
      <c r="Y67" s="2" t="s">
        <v>27</v>
      </c>
      <c r="Z67" s="2" t="s">
        <v>88</v>
      </c>
      <c r="AA67" s="23">
        <v>73</v>
      </c>
      <c r="AB67" s="23">
        <v>10</v>
      </c>
      <c r="AC67" s="24">
        <v>0.13698630136986301</v>
      </c>
      <c r="AD67" s="14" t="str">
        <f>VLOOKUP(flu_eth_ep[[#This Row],[trust_code]],trust_lookup[],3,0)</f>
        <v>North London</v>
      </c>
      <c r="AE67" s="14" t="str">
        <f>VLOOKUP(flu_eth_ep[[#This Row],[trust_code]],trust_lookup[],4,0)</f>
        <v>Mental Health</v>
      </c>
    </row>
    <row r="68" spans="2:31" x14ac:dyDescent="0.35">
      <c r="B68" s="2" t="s">
        <v>214</v>
      </c>
      <c r="C68" s="2" t="s">
        <v>215</v>
      </c>
      <c r="D68" s="2" t="s">
        <v>197</v>
      </c>
      <c r="E68" s="2" t="s">
        <v>24</v>
      </c>
      <c r="F68" s="23">
        <v>3791</v>
      </c>
      <c r="G68" s="23">
        <v>1442</v>
      </c>
      <c r="H68" s="24">
        <v>0.38037457135320402</v>
      </c>
      <c r="I68" s="24">
        <v>0.39201342299999897</v>
      </c>
      <c r="J68" s="58">
        <v>1986</v>
      </c>
      <c r="K68" s="58">
        <v>802</v>
      </c>
      <c r="L68" s="24">
        <v>0.40382678751258799</v>
      </c>
      <c r="N68" s="2" t="s">
        <v>182</v>
      </c>
      <c r="O68" s="2" t="s">
        <v>183</v>
      </c>
      <c r="P68" s="2" t="s">
        <v>27</v>
      </c>
      <c r="Q68" s="2" t="s">
        <v>46</v>
      </c>
      <c r="R68" s="23">
        <v>22</v>
      </c>
      <c r="S68" s="23">
        <v>5</v>
      </c>
      <c r="T68" s="24">
        <v>0.22727272727272699</v>
      </c>
      <c r="U68" s="14" t="str">
        <f>VLOOKUP(flu_staff[[#This Row],[trust_code]],trust_lookup[],3,0)</f>
        <v>UCLH</v>
      </c>
      <c r="W68" s="2" t="s">
        <v>147</v>
      </c>
      <c r="X68" s="2" t="s">
        <v>148</v>
      </c>
      <c r="Y68" s="2" t="s">
        <v>27</v>
      </c>
      <c r="Z68" s="2" t="s">
        <v>75</v>
      </c>
      <c r="AA68" s="23">
        <v>300</v>
      </c>
      <c r="AB68" s="23">
        <v>59</v>
      </c>
      <c r="AC68" s="24">
        <v>0.19666666666666599</v>
      </c>
      <c r="AD68" s="14" t="str">
        <f>VLOOKUP(flu_eth_ep[[#This Row],[trust_code]],trust_lookup[],3,0)</f>
        <v>North London</v>
      </c>
      <c r="AE68" s="14" t="str">
        <f>VLOOKUP(flu_eth_ep[[#This Row],[trust_code]],trust_lookup[],4,0)</f>
        <v>Mental Health</v>
      </c>
    </row>
    <row r="69" spans="2:31" x14ac:dyDescent="0.35">
      <c r="B69" s="2" t="s">
        <v>216</v>
      </c>
      <c r="C69" s="2" t="s">
        <v>217</v>
      </c>
      <c r="D69" s="2" t="s">
        <v>197</v>
      </c>
      <c r="E69" s="2" t="s">
        <v>24</v>
      </c>
      <c r="F69" s="23">
        <v>4891</v>
      </c>
      <c r="G69" s="23">
        <v>3130</v>
      </c>
      <c r="H69" s="24">
        <v>0.63995093028010597</v>
      </c>
      <c r="I69" s="24">
        <v>0.691156463</v>
      </c>
      <c r="J69" s="58">
        <v>1281</v>
      </c>
      <c r="K69" s="58">
        <v>789</v>
      </c>
      <c r="L69" s="24">
        <v>0.61592505854800905</v>
      </c>
      <c r="N69" s="2" t="s">
        <v>182</v>
      </c>
      <c r="O69" s="2" t="s">
        <v>183</v>
      </c>
      <c r="P69" s="2" t="s">
        <v>27</v>
      </c>
      <c r="Q69" s="2" t="s">
        <v>28</v>
      </c>
      <c r="R69" s="23">
        <v>143</v>
      </c>
      <c r="S69" s="23">
        <v>40</v>
      </c>
      <c r="T69" s="24">
        <v>0.27972027972027902</v>
      </c>
      <c r="U69" s="14" t="str">
        <f>VLOOKUP(flu_staff[[#This Row],[trust_code]],trust_lookup[],3,0)</f>
        <v>UCLH</v>
      </c>
      <c r="W69" s="2" t="s">
        <v>147</v>
      </c>
      <c r="X69" s="2" t="s">
        <v>148</v>
      </c>
      <c r="Y69" s="2" t="s">
        <v>27</v>
      </c>
      <c r="Z69" s="2" t="s">
        <v>129</v>
      </c>
      <c r="AA69" s="23">
        <v>49</v>
      </c>
      <c r="AB69" s="23">
        <v>11</v>
      </c>
      <c r="AC69" s="24">
        <v>0.22448979591836701</v>
      </c>
      <c r="AD69" s="14" t="str">
        <f>VLOOKUP(flu_eth_ep[[#This Row],[trust_code]],trust_lookup[],3,0)</f>
        <v>North London</v>
      </c>
      <c r="AE69" s="14" t="str">
        <f>VLOOKUP(flu_eth_ep[[#This Row],[trust_code]],trust_lookup[],4,0)</f>
        <v>Mental Health</v>
      </c>
    </row>
    <row r="70" spans="2:31" x14ac:dyDescent="0.35">
      <c r="B70" s="2" t="s">
        <v>218</v>
      </c>
      <c r="C70" s="2" t="s">
        <v>219</v>
      </c>
      <c r="D70" s="2" t="s">
        <v>197</v>
      </c>
      <c r="E70" s="2" t="s">
        <v>24</v>
      </c>
      <c r="F70" s="23">
        <v>2159</v>
      </c>
      <c r="G70" s="23">
        <v>972</v>
      </c>
      <c r="H70" s="24">
        <v>0.45020842982862402</v>
      </c>
      <c r="I70" s="24">
        <v>0.460940919</v>
      </c>
      <c r="J70" s="58">
        <v>1508</v>
      </c>
      <c r="K70" s="58">
        <v>718</v>
      </c>
      <c r="L70" s="24">
        <v>0.47612732095490701</v>
      </c>
      <c r="N70" s="2" t="s">
        <v>182</v>
      </c>
      <c r="O70" s="2" t="s">
        <v>183</v>
      </c>
      <c r="P70" s="2" t="s">
        <v>27</v>
      </c>
      <c r="Q70" s="2" t="s">
        <v>35</v>
      </c>
      <c r="R70" s="23">
        <v>57</v>
      </c>
      <c r="S70" s="23">
        <v>15</v>
      </c>
      <c r="T70" s="24">
        <v>0.26315789473684198</v>
      </c>
      <c r="U70" s="14" t="str">
        <f>VLOOKUP(flu_staff[[#This Row],[trust_code]],trust_lookup[],3,0)</f>
        <v>UCLH</v>
      </c>
      <c r="W70" s="2" t="s">
        <v>147</v>
      </c>
      <c r="X70" s="2" t="s">
        <v>148</v>
      </c>
      <c r="Y70" s="2" t="s">
        <v>27</v>
      </c>
      <c r="Z70" s="2" t="s">
        <v>68</v>
      </c>
      <c r="AA70" s="23">
        <v>1499</v>
      </c>
      <c r="AB70" s="23">
        <v>650</v>
      </c>
      <c r="AC70" s="24">
        <v>0.43362241494329501</v>
      </c>
      <c r="AD70" s="14" t="str">
        <f>VLOOKUP(flu_eth_ep[[#This Row],[trust_code]],trust_lookup[],3,0)</f>
        <v>North London</v>
      </c>
      <c r="AE70" s="14" t="str">
        <f>VLOOKUP(flu_eth_ep[[#This Row],[trust_code]],trust_lookup[],4,0)</f>
        <v>Mental Health</v>
      </c>
    </row>
    <row r="71" spans="2:31" x14ac:dyDescent="0.35">
      <c r="B71" s="2" t="s">
        <v>220</v>
      </c>
      <c r="C71" s="2" t="s">
        <v>221</v>
      </c>
      <c r="D71" s="2" t="s">
        <v>197</v>
      </c>
      <c r="E71" s="2" t="s">
        <v>24</v>
      </c>
      <c r="F71" s="23">
        <v>2347</v>
      </c>
      <c r="G71" s="23">
        <v>1278</v>
      </c>
      <c r="H71" s="24">
        <v>0.54452492543672704</v>
      </c>
      <c r="I71" s="24">
        <v>0.54477034999999996</v>
      </c>
      <c r="J71" s="58">
        <v>652</v>
      </c>
      <c r="K71" s="58">
        <v>342</v>
      </c>
      <c r="L71" s="24">
        <v>0.52453987730061302</v>
      </c>
      <c r="N71" s="2" t="s">
        <v>182</v>
      </c>
      <c r="O71" s="2" t="s">
        <v>183</v>
      </c>
      <c r="P71" s="2" t="s">
        <v>27</v>
      </c>
      <c r="Q71" s="2" t="s">
        <v>53</v>
      </c>
      <c r="R71" s="23">
        <v>2875</v>
      </c>
      <c r="S71" s="23">
        <v>1176</v>
      </c>
      <c r="T71" s="24">
        <v>0.40904347826086901</v>
      </c>
      <c r="U71" s="14" t="str">
        <f>VLOOKUP(flu_staff[[#This Row],[trust_code]],trust_lookup[],3,0)</f>
        <v>UCLH</v>
      </c>
      <c r="W71" s="2" t="s">
        <v>147</v>
      </c>
      <c r="X71" s="2" t="s">
        <v>148</v>
      </c>
      <c r="Y71" s="2" t="s">
        <v>27</v>
      </c>
      <c r="Z71" s="2" t="s">
        <v>61</v>
      </c>
      <c r="AA71" s="23">
        <v>161</v>
      </c>
      <c r="AB71" s="23">
        <v>19</v>
      </c>
      <c r="AC71" s="24">
        <v>0.118012422360248</v>
      </c>
      <c r="AD71" s="14" t="str">
        <f>VLOOKUP(flu_eth_ep[[#This Row],[trust_code]],trust_lookup[],3,0)</f>
        <v>North London</v>
      </c>
      <c r="AE71" s="14" t="str">
        <f>VLOOKUP(flu_eth_ep[[#This Row],[trust_code]],trust_lookup[],4,0)</f>
        <v>Mental Health</v>
      </c>
    </row>
    <row r="72" spans="2:31" x14ac:dyDescent="0.35">
      <c r="B72" s="2" t="s">
        <v>222</v>
      </c>
      <c r="C72" s="2" t="s">
        <v>223</v>
      </c>
      <c r="D72" s="2" t="s">
        <v>197</v>
      </c>
      <c r="E72" s="2" t="s">
        <v>24</v>
      </c>
      <c r="F72" s="23">
        <v>5024</v>
      </c>
      <c r="G72" s="23">
        <v>2547</v>
      </c>
      <c r="H72" s="24">
        <v>0.50696656050955402</v>
      </c>
      <c r="I72" s="24">
        <v>0.54633300299999998</v>
      </c>
      <c r="J72" s="58">
        <v>1359</v>
      </c>
      <c r="K72" s="58">
        <v>696</v>
      </c>
      <c r="L72" s="24">
        <v>0.51214128035319995</v>
      </c>
      <c r="N72" s="2" t="s">
        <v>182</v>
      </c>
      <c r="O72" s="2" t="s">
        <v>183</v>
      </c>
      <c r="P72" s="2" t="s">
        <v>27</v>
      </c>
      <c r="Q72" s="2" t="s">
        <v>60</v>
      </c>
      <c r="R72" s="23">
        <v>738</v>
      </c>
      <c r="S72" s="23">
        <v>367</v>
      </c>
      <c r="T72" s="24">
        <v>0.49728997289972898</v>
      </c>
      <c r="U72" s="14" t="str">
        <f>VLOOKUP(flu_staff[[#This Row],[trust_code]],trust_lookup[],3,0)</f>
        <v>UCLH</v>
      </c>
      <c r="W72" s="2" t="s">
        <v>147</v>
      </c>
      <c r="X72" s="2" t="s">
        <v>148</v>
      </c>
      <c r="Y72" s="2" t="s">
        <v>27</v>
      </c>
      <c r="Z72" s="2" t="s">
        <v>36</v>
      </c>
      <c r="AA72" s="23">
        <v>286</v>
      </c>
      <c r="AB72" s="23">
        <v>84</v>
      </c>
      <c r="AC72" s="24">
        <v>0.29370629370629298</v>
      </c>
      <c r="AD72" s="14" t="str">
        <f>VLOOKUP(flu_eth_ep[[#This Row],[trust_code]],trust_lookup[],3,0)</f>
        <v>North London</v>
      </c>
      <c r="AE72" s="14" t="str">
        <f>VLOOKUP(flu_eth_ep[[#This Row],[trust_code]],trust_lookup[],4,0)</f>
        <v>Mental Health</v>
      </c>
    </row>
    <row r="73" spans="2:31" x14ac:dyDescent="0.35">
      <c r="B73" s="2" t="s">
        <v>224</v>
      </c>
      <c r="C73" s="2" t="s">
        <v>225</v>
      </c>
      <c r="D73" s="2" t="s">
        <v>197</v>
      </c>
      <c r="E73" s="2" t="s">
        <v>24</v>
      </c>
      <c r="F73" s="23">
        <v>8994</v>
      </c>
      <c r="G73" s="23">
        <v>3525</v>
      </c>
      <c r="H73" s="24">
        <v>0.39192795196797803</v>
      </c>
      <c r="I73" s="24">
        <v>0.30868055599999999</v>
      </c>
      <c r="J73" s="58">
        <v>1930</v>
      </c>
      <c r="K73" s="58">
        <v>755</v>
      </c>
      <c r="L73" s="24">
        <v>0.39119170984455898</v>
      </c>
      <c r="N73" s="2" t="s">
        <v>182</v>
      </c>
      <c r="O73" s="2" t="s">
        <v>183</v>
      </c>
      <c r="P73" s="2" t="s">
        <v>27</v>
      </c>
      <c r="Q73" s="2" t="s">
        <v>67</v>
      </c>
      <c r="R73" s="23">
        <v>411</v>
      </c>
      <c r="S73" s="23">
        <v>180</v>
      </c>
      <c r="T73" s="24">
        <v>0.43795620437956201</v>
      </c>
      <c r="U73" s="14" t="str">
        <f>VLOOKUP(flu_staff[[#This Row],[trust_code]],trust_lookup[],3,0)</f>
        <v>UCLH</v>
      </c>
      <c r="W73" s="2" t="s">
        <v>147</v>
      </c>
      <c r="X73" s="2" t="s">
        <v>148</v>
      </c>
      <c r="Y73" s="2" t="s">
        <v>27</v>
      </c>
      <c r="Z73" s="2" t="s">
        <v>112</v>
      </c>
      <c r="AA73" s="23">
        <v>283</v>
      </c>
      <c r="AB73" s="23">
        <v>72</v>
      </c>
      <c r="AC73" s="24">
        <v>0.25441696113074203</v>
      </c>
      <c r="AD73" s="14" t="str">
        <f>VLOOKUP(flu_eth_ep[[#This Row],[trust_code]],trust_lookup[],3,0)</f>
        <v>North London</v>
      </c>
      <c r="AE73" s="14" t="str">
        <f>VLOOKUP(flu_eth_ep[[#This Row],[trust_code]],trust_lookup[],4,0)</f>
        <v>Mental Health</v>
      </c>
    </row>
    <row r="74" spans="2:31" x14ac:dyDescent="0.35">
      <c r="B74" s="2" t="s">
        <v>226</v>
      </c>
      <c r="C74" s="2" t="s">
        <v>227</v>
      </c>
      <c r="D74" s="2" t="s">
        <v>197</v>
      </c>
      <c r="E74" s="2" t="s">
        <v>24</v>
      </c>
      <c r="F74" s="23">
        <v>4107</v>
      </c>
      <c r="G74" s="23">
        <v>2247</v>
      </c>
      <c r="H74" s="24">
        <v>0.54711468224981696</v>
      </c>
      <c r="I74" s="24">
        <v>0.54646285999999999</v>
      </c>
      <c r="J74" s="58">
        <v>993</v>
      </c>
      <c r="K74" s="58">
        <v>521</v>
      </c>
      <c r="L74" s="24">
        <v>0.52467270896273899</v>
      </c>
      <c r="N74" s="2" t="s">
        <v>185</v>
      </c>
      <c r="O74" s="2" t="s">
        <v>186</v>
      </c>
      <c r="P74" s="2" t="s">
        <v>27</v>
      </c>
      <c r="Q74" s="2" t="s">
        <v>53</v>
      </c>
      <c r="R74" s="23">
        <v>1071</v>
      </c>
      <c r="S74" s="23">
        <v>398</v>
      </c>
      <c r="T74" s="24">
        <v>0.371615312791783</v>
      </c>
      <c r="U74" s="14" t="str">
        <f>VLOOKUP(flu_staff[[#This Row],[trust_code]],trust_lookup[],3,0)</f>
        <v>Whittington</v>
      </c>
      <c r="W74" s="2" t="s">
        <v>147</v>
      </c>
      <c r="X74" s="2" t="s">
        <v>148</v>
      </c>
      <c r="Y74" s="2" t="s">
        <v>27</v>
      </c>
      <c r="Z74" s="2" t="s">
        <v>123</v>
      </c>
      <c r="AA74" s="23">
        <v>231</v>
      </c>
      <c r="AB74" s="23">
        <v>73</v>
      </c>
      <c r="AC74" s="24">
        <v>0.31601731601731597</v>
      </c>
      <c r="AD74" s="14" t="str">
        <f>VLOOKUP(flu_eth_ep[[#This Row],[trust_code]],trust_lookup[],3,0)</f>
        <v>North London</v>
      </c>
      <c r="AE74" s="14" t="str">
        <f>VLOOKUP(flu_eth_ep[[#This Row],[trust_code]],trust_lookup[],4,0)</f>
        <v>Mental Health</v>
      </c>
    </row>
    <row r="75" spans="2:31" x14ac:dyDescent="0.35">
      <c r="B75" s="2" t="s">
        <v>228</v>
      </c>
      <c r="C75" s="2" t="s">
        <v>229</v>
      </c>
      <c r="D75" s="2" t="s">
        <v>197</v>
      </c>
      <c r="E75" s="2" t="s">
        <v>24</v>
      </c>
      <c r="F75" s="23">
        <v>2402</v>
      </c>
      <c r="G75" s="23">
        <v>1374</v>
      </c>
      <c r="H75" s="24">
        <v>0.57202331390507899</v>
      </c>
      <c r="I75" s="24">
        <v>0.579094412</v>
      </c>
      <c r="J75" s="58">
        <v>1749</v>
      </c>
      <c r="K75" s="58">
        <v>1014</v>
      </c>
      <c r="L75" s="24">
        <v>0.57975986277873004</v>
      </c>
      <c r="N75" s="2" t="s">
        <v>185</v>
      </c>
      <c r="O75" s="2" t="s">
        <v>186</v>
      </c>
      <c r="P75" s="2" t="s">
        <v>27</v>
      </c>
      <c r="Q75" s="2" t="s">
        <v>35</v>
      </c>
      <c r="R75" s="23">
        <v>19</v>
      </c>
      <c r="S75" s="23">
        <v>7</v>
      </c>
      <c r="T75" s="24">
        <v>0.36842105263157798</v>
      </c>
      <c r="U75" s="14" t="str">
        <f>VLOOKUP(flu_staff[[#This Row],[trust_code]],trust_lookup[],3,0)</f>
        <v>Whittington</v>
      </c>
      <c r="W75" s="2" t="s">
        <v>147</v>
      </c>
      <c r="X75" s="2" t="s">
        <v>148</v>
      </c>
      <c r="Y75" s="2" t="s">
        <v>27</v>
      </c>
      <c r="Z75" s="2" t="s">
        <v>106</v>
      </c>
      <c r="AA75" s="23">
        <v>52</v>
      </c>
      <c r="AB75" s="23">
        <v>23</v>
      </c>
      <c r="AC75" s="24">
        <v>0.44230769230769201</v>
      </c>
      <c r="AD75" s="14" t="str">
        <f>VLOOKUP(flu_eth_ep[[#This Row],[trust_code]],trust_lookup[],3,0)</f>
        <v>North London</v>
      </c>
      <c r="AE75" s="14" t="str">
        <f>VLOOKUP(flu_eth_ep[[#This Row],[trust_code]],trust_lookup[],4,0)</f>
        <v>Mental Health</v>
      </c>
    </row>
    <row r="76" spans="2:31" x14ac:dyDescent="0.35">
      <c r="B76" s="2" t="s">
        <v>230</v>
      </c>
      <c r="C76" s="2" t="s">
        <v>231</v>
      </c>
      <c r="D76" s="2" t="s">
        <v>197</v>
      </c>
      <c r="E76" s="2" t="s">
        <v>24</v>
      </c>
      <c r="F76" s="23">
        <v>1892</v>
      </c>
      <c r="G76" s="23">
        <v>820</v>
      </c>
      <c r="H76" s="24">
        <v>0.433403805496828</v>
      </c>
      <c r="I76" s="24">
        <v>0.40652173899999999</v>
      </c>
      <c r="J76" s="58">
        <v>1562</v>
      </c>
      <c r="K76" s="58">
        <v>727</v>
      </c>
      <c r="L76" s="24">
        <v>0.46542893725992301</v>
      </c>
      <c r="N76" s="2" t="s">
        <v>185</v>
      </c>
      <c r="O76" s="2" t="s">
        <v>186</v>
      </c>
      <c r="P76" s="2" t="s">
        <v>27</v>
      </c>
      <c r="Q76" s="2" t="s">
        <v>81</v>
      </c>
      <c r="R76" s="23">
        <v>573</v>
      </c>
      <c r="S76" s="23">
        <v>155</v>
      </c>
      <c r="T76" s="24">
        <v>0.27050610820244297</v>
      </c>
      <c r="U76" s="14" t="str">
        <f>VLOOKUP(flu_staff[[#This Row],[trust_code]],trust_lookup[],3,0)</f>
        <v>Whittington</v>
      </c>
      <c r="W76" s="2" t="s">
        <v>147</v>
      </c>
      <c r="X76" s="2" t="s">
        <v>148</v>
      </c>
      <c r="Y76" s="2" t="s">
        <v>27</v>
      </c>
      <c r="Z76" s="2" t="s">
        <v>47</v>
      </c>
      <c r="AA76" s="23">
        <v>79</v>
      </c>
      <c r="AB76" s="23">
        <v>13</v>
      </c>
      <c r="AC76" s="24">
        <v>0.164556962025316</v>
      </c>
      <c r="AD76" s="14" t="str">
        <f>VLOOKUP(flu_eth_ep[[#This Row],[trust_code]],trust_lookup[],3,0)</f>
        <v>North London</v>
      </c>
      <c r="AE76" s="14" t="str">
        <f>VLOOKUP(flu_eth_ep[[#This Row],[trust_code]],trust_lookup[],4,0)</f>
        <v>Mental Health</v>
      </c>
    </row>
    <row r="77" spans="2:31" x14ac:dyDescent="0.35">
      <c r="B77" s="2" t="s">
        <v>232</v>
      </c>
      <c r="C77" s="2" t="s">
        <v>233</v>
      </c>
      <c r="D77" s="2" t="s">
        <v>197</v>
      </c>
      <c r="E77" s="2" t="s">
        <v>24</v>
      </c>
      <c r="F77" s="23">
        <v>3271</v>
      </c>
      <c r="G77" s="23">
        <v>2011</v>
      </c>
      <c r="H77" s="24">
        <v>0.61479669825741301</v>
      </c>
      <c r="I77" s="24">
        <v>0.65401678699999999</v>
      </c>
      <c r="J77" s="58">
        <v>1593</v>
      </c>
      <c r="K77" s="58">
        <v>872</v>
      </c>
      <c r="L77" s="24">
        <v>0.54739485247959796</v>
      </c>
      <c r="N77" s="2" t="s">
        <v>185</v>
      </c>
      <c r="O77" s="2" t="s">
        <v>186</v>
      </c>
      <c r="P77" s="2" t="s">
        <v>27</v>
      </c>
      <c r="Q77" s="2" t="s">
        <v>42</v>
      </c>
      <c r="R77" s="23">
        <v>436</v>
      </c>
      <c r="S77" s="23">
        <v>263</v>
      </c>
      <c r="T77" s="24">
        <v>0.60321100917431103</v>
      </c>
      <c r="U77" s="14" t="str">
        <f>VLOOKUP(flu_staff[[#This Row],[trust_code]],trust_lookup[],3,0)</f>
        <v>Whittington</v>
      </c>
      <c r="W77" s="2" t="s">
        <v>157</v>
      </c>
      <c r="X77" s="2" t="s">
        <v>158</v>
      </c>
      <c r="Y77" s="2" t="s">
        <v>27</v>
      </c>
      <c r="Z77" s="2" t="s">
        <v>82</v>
      </c>
      <c r="AA77" s="23">
        <v>502</v>
      </c>
      <c r="AB77" s="23">
        <v>157</v>
      </c>
      <c r="AC77" s="24">
        <v>0.31274900398406302</v>
      </c>
      <c r="AD77" s="14" t="str">
        <f>VLOOKUP(flu_eth_ep[[#This Row],[trust_code]],trust_lookup[],3,0)</f>
        <v>Royal Free</v>
      </c>
      <c r="AE77" s="14" t="str">
        <f>VLOOKUP(flu_eth_ep[[#This Row],[trust_code]],trust_lookup[],4,0)</f>
        <v>Acute</v>
      </c>
    </row>
    <row r="78" spans="2:31" x14ac:dyDescent="0.35">
      <c r="B78" s="2" t="s">
        <v>234</v>
      </c>
      <c r="C78" s="2" t="s">
        <v>235</v>
      </c>
      <c r="D78" s="2" t="s">
        <v>197</v>
      </c>
      <c r="E78" s="2" t="s">
        <v>24</v>
      </c>
      <c r="F78" s="23">
        <v>10367</v>
      </c>
      <c r="G78" s="23">
        <v>5524</v>
      </c>
      <c r="H78" s="24">
        <v>0.53284460306742498</v>
      </c>
      <c r="I78" s="24">
        <v>0.52705314000000003</v>
      </c>
      <c r="J78" s="58">
        <v>3016</v>
      </c>
      <c r="K78" s="58">
        <v>1681</v>
      </c>
      <c r="L78" s="24">
        <v>0.55736074270557001</v>
      </c>
      <c r="N78" s="2" t="s">
        <v>185</v>
      </c>
      <c r="O78" s="2" t="s">
        <v>186</v>
      </c>
      <c r="P78" s="2" t="s">
        <v>27</v>
      </c>
      <c r="Q78" s="2" t="s">
        <v>28</v>
      </c>
      <c r="R78" s="23">
        <v>46</v>
      </c>
      <c r="S78" s="23">
        <v>6</v>
      </c>
      <c r="T78" s="24">
        <v>0.13043478260869501</v>
      </c>
      <c r="U78" s="14" t="str">
        <f>VLOOKUP(flu_staff[[#This Row],[trust_code]],trust_lookup[],3,0)</f>
        <v>Whittington</v>
      </c>
      <c r="W78" s="2" t="s">
        <v>157</v>
      </c>
      <c r="X78" s="2" t="s">
        <v>158</v>
      </c>
      <c r="Y78" s="2" t="s">
        <v>27</v>
      </c>
      <c r="Z78" s="2" t="s">
        <v>135</v>
      </c>
      <c r="AA78" s="23">
        <v>238</v>
      </c>
      <c r="AB78" s="23">
        <v>111</v>
      </c>
      <c r="AC78" s="24">
        <v>0.46638655462184803</v>
      </c>
      <c r="AD78" s="14" t="str">
        <f>VLOOKUP(flu_eth_ep[[#This Row],[trust_code]],trust_lookup[],3,0)</f>
        <v>Royal Free</v>
      </c>
      <c r="AE78" s="14" t="str">
        <f>VLOOKUP(flu_eth_ep[[#This Row],[trust_code]],trust_lookup[],4,0)</f>
        <v>Acute</v>
      </c>
    </row>
    <row r="79" spans="2:31" x14ac:dyDescent="0.35">
      <c r="B79" s="2" t="s">
        <v>236</v>
      </c>
      <c r="C79" s="2" t="s">
        <v>237</v>
      </c>
      <c r="D79" s="2" t="s">
        <v>197</v>
      </c>
      <c r="E79" s="2" t="s">
        <v>24</v>
      </c>
      <c r="F79" s="23">
        <v>3528</v>
      </c>
      <c r="G79" s="23">
        <v>1546</v>
      </c>
      <c r="H79" s="24">
        <v>0.43820861678004502</v>
      </c>
      <c r="I79" s="24">
        <v>0.436144965</v>
      </c>
      <c r="J79" s="58">
        <v>987</v>
      </c>
      <c r="K79" s="58">
        <v>538</v>
      </c>
      <c r="L79" s="24">
        <v>0.54508611955420405</v>
      </c>
      <c r="N79" s="2" t="s">
        <v>185</v>
      </c>
      <c r="O79" s="2" t="s">
        <v>186</v>
      </c>
      <c r="P79" s="2" t="s">
        <v>27</v>
      </c>
      <c r="Q79" s="2" t="s">
        <v>74</v>
      </c>
      <c r="R79" s="23">
        <v>42</v>
      </c>
      <c r="S79" s="23">
        <v>13</v>
      </c>
      <c r="T79" s="24">
        <v>0.30952380952380898</v>
      </c>
      <c r="U79" s="14" t="str">
        <f>VLOOKUP(flu_staff[[#This Row],[trust_code]],trust_lookup[],3,0)</f>
        <v>Whittington</v>
      </c>
      <c r="W79" s="2" t="s">
        <v>157</v>
      </c>
      <c r="X79" s="2" t="s">
        <v>158</v>
      </c>
      <c r="Y79" s="2" t="s">
        <v>27</v>
      </c>
      <c r="Z79" s="2" t="s">
        <v>36</v>
      </c>
      <c r="AA79" s="23">
        <v>1315</v>
      </c>
      <c r="AB79" s="23">
        <v>510</v>
      </c>
      <c r="AC79" s="24">
        <v>0.38783269961977102</v>
      </c>
      <c r="AD79" s="14" t="str">
        <f>VLOOKUP(flu_eth_ep[[#This Row],[trust_code]],trust_lookup[],3,0)</f>
        <v>Royal Free</v>
      </c>
      <c r="AE79" s="14" t="str">
        <f>VLOOKUP(flu_eth_ep[[#This Row],[trust_code]],trust_lookup[],4,0)</f>
        <v>Acute</v>
      </c>
    </row>
    <row r="80" spans="2:31" x14ac:dyDescent="0.35">
      <c r="B80" s="2" t="s">
        <v>238</v>
      </c>
      <c r="C80" s="2" t="s">
        <v>239</v>
      </c>
      <c r="D80" s="2" t="s">
        <v>197</v>
      </c>
      <c r="E80" s="2" t="s">
        <v>24</v>
      </c>
      <c r="F80" s="23">
        <v>5579</v>
      </c>
      <c r="G80" s="23">
        <v>2391</v>
      </c>
      <c r="H80" s="24">
        <v>0.42857142857142799</v>
      </c>
      <c r="I80" s="24">
        <v>0.39169054399999997</v>
      </c>
      <c r="J80" s="58">
        <v>1499</v>
      </c>
      <c r="K80" s="58">
        <v>673</v>
      </c>
      <c r="L80" s="24">
        <v>0.44896597731821197</v>
      </c>
      <c r="N80" s="2" t="s">
        <v>185</v>
      </c>
      <c r="O80" s="2" t="s">
        <v>186</v>
      </c>
      <c r="P80" s="2" t="s">
        <v>27</v>
      </c>
      <c r="Q80" s="2" t="s">
        <v>46</v>
      </c>
      <c r="R80" s="23">
        <v>1</v>
      </c>
      <c r="S80" s="23">
        <v>1</v>
      </c>
      <c r="T80" s="24">
        <v>1</v>
      </c>
      <c r="U80" s="14" t="str">
        <f>VLOOKUP(flu_staff[[#This Row],[trust_code]],trust_lookup[],3,0)</f>
        <v>Whittington</v>
      </c>
      <c r="W80" s="2" t="s">
        <v>157</v>
      </c>
      <c r="X80" s="2" t="s">
        <v>158</v>
      </c>
      <c r="Y80" s="2" t="s">
        <v>27</v>
      </c>
      <c r="Z80" s="2" t="s">
        <v>141</v>
      </c>
      <c r="AA80" s="23">
        <v>1906</v>
      </c>
      <c r="AB80" s="23">
        <v>707</v>
      </c>
      <c r="AC80" s="24">
        <v>0.37093389296956902</v>
      </c>
      <c r="AD80" s="14" t="str">
        <f>VLOOKUP(flu_eth_ep[[#This Row],[trust_code]],trust_lookup[],3,0)</f>
        <v>Royal Free</v>
      </c>
      <c r="AE80" s="14" t="str">
        <f>VLOOKUP(flu_eth_ep[[#This Row],[trust_code]],trust_lookup[],4,0)</f>
        <v>Acute</v>
      </c>
    </row>
    <row r="81" spans="2:31" x14ac:dyDescent="0.35">
      <c r="B81" s="2" t="s">
        <v>240</v>
      </c>
      <c r="C81" s="2" t="s">
        <v>241</v>
      </c>
      <c r="D81" s="2" t="s">
        <v>197</v>
      </c>
      <c r="E81" s="2" t="s">
        <v>24</v>
      </c>
      <c r="F81" s="23">
        <v>3547</v>
      </c>
      <c r="G81" s="23">
        <v>1812</v>
      </c>
      <c r="H81" s="24">
        <v>0.510854243022272</v>
      </c>
      <c r="I81" s="24">
        <v>0.44994035199999999</v>
      </c>
      <c r="J81" s="58">
        <v>806</v>
      </c>
      <c r="K81" s="58">
        <v>429</v>
      </c>
      <c r="L81" s="24">
        <v>0.532258064516129</v>
      </c>
      <c r="N81" s="2" t="s">
        <v>185</v>
      </c>
      <c r="O81" s="2" t="s">
        <v>186</v>
      </c>
      <c r="P81" s="2" t="s">
        <v>27</v>
      </c>
      <c r="Q81" s="2" t="s">
        <v>60</v>
      </c>
      <c r="R81" s="23">
        <v>473</v>
      </c>
      <c r="S81" s="23">
        <v>210</v>
      </c>
      <c r="T81" s="24">
        <v>0.44397463002114101</v>
      </c>
      <c r="U81" s="14" t="str">
        <f>VLOOKUP(flu_staff[[#This Row],[trust_code]],trust_lookup[],3,0)</f>
        <v>Whittington</v>
      </c>
      <c r="W81" s="2" t="s">
        <v>157</v>
      </c>
      <c r="X81" s="2" t="s">
        <v>158</v>
      </c>
      <c r="Y81" s="2" t="s">
        <v>27</v>
      </c>
      <c r="Z81" s="2" t="s">
        <v>100</v>
      </c>
      <c r="AA81" s="23">
        <v>2764</v>
      </c>
      <c r="AB81" s="23">
        <v>683</v>
      </c>
      <c r="AC81" s="24">
        <v>0.24710564399421101</v>
      </c>
      <c r="AD81" s="14" t="str">
        <f>VLOOKUP(flu_eth_ep[[#This Row],[trust_code]],trust_lookup[],3,0)</f>
        <v>Royal Free</v>
      </c>
      <c r="AE81" s="14" t="str">
        <f>VLOOKUP(flu_eth_ep[[#This Row],[trust_code]],trust_lookup[],4,0)</f>
        <v>Acute</v>
      </c>
    </row>
    <row r="82" spans="2:31" x14ac:dyDescent="0.35">
      <c r="B82" s="2" t="s">
        <v>242</v>
      </c>
      <c r="C82" s="2" t="s">
        <v>243</v>
      </c>
      <c r="D82" s="2" t="s">
        <v>197</v>
      </c>
      <c r="E82" s="2" t="s">
        <v>24</v>
      </c>
      <c r="F82" s="23">
        <v>5459</v>
      </c>
      <c r="G82" s="23">
        <v>2486</v>
      </c>
      <c r="H82" s="24">
        <v>0.45539476094522802</v>
      </c>
      <c r="I82" s="24">
        <v>0.47219917</v>
      </c>
      <c r="J82" s="58">
        <v>1438</v>
      </c>
      <c r="K82" s="58">
        <v>670</v>
      </c>
      <c r="L82" s="24">
        <v>0.46592489568845602</v>
      </c>
      <c r="N82" s="2" t="s">
        <v>185</v>
      </c>
      <c r="O82" s="2" t="s">
        <v>186</v>
      </c>
      <c r="P82" s="2" t="s">
        <v>27</v>
      </c>
      <c r="Q82" s="2" t="s">
        <v>67</v>
      </c>
      <c r="R82" s="23">
        <v>295</v>
      </c>
      <c r="S82" s="23">
        <v>117</v>
      </c>
      <c r="T82" s="24">
        <v>0.396610169491525</v>
      </c>
      <c r="U82" s="14" t="str">
        <f>VLOOKUP(flu_staff[[#This Row],[trust_code]],trust_lookup[],3,0)</f>
        <v>Whittington</v>
      </c>
      <c r="W82" s="2" t="s">
        <v>157</v>
      </c>
      <c r="X82" s="2" t="s">
        <v>158</v>
      </c>
      <c r="Y82" s="2" t="s">
        <v>27</v>
      </c>
      <c r="Z82" s="2" t="s">
        <v>29</v>
      </c>
      <c r="AA82" s="23">
        <v>244</v>
      </c>
      <c r="AB82" s="23">
        <v>84</v>
      </c>
      <c r="AC82" s="24">
        <v>0.34426229508196698</v>
      </c>
      <c r="AD82" s="14" t="str">
        <f>VLOOKUP(flu_eth_ep[[#This Row],[trust_code]],trust_lookup[],3,0)</f>
        <v>Royal Free</v>
      </c>
      <c r="AE82" s="14" t="str">
        <f>VLOOKUP(flu_eth_ep[[#This Row],[trust_code]],trust_lookup[],4,0)</f>
        <v>Acute</v>
      </c>
    </row>
    <row r="83" spans="2:31" x14ac:dyDescent="0.35">
      <c r="B83" s="2" t="s">
        <v>244</v>
      </c>
      <c r="C83" s="2" t="s">
        <v>245</v>
      </c>
      <c r="D83" s="2" t="s">
        <v>197</v>
      </c>
      <c r="E83" s="2" t="s">
        <v>24</v>
      </c>
      <c r="F83" s="23">
        <v>14223</v>
      </c>
      <c r="G83" s="23">
        <v>6591</v>
      </c>
      <c r="H83" s="24">
        <v>0.46340434507487799</v>
      </c>
      <c r="I83" s="24">
        <v>0.40273972599999902</v>
      </c>
      <c r="J83" s="58">
        <v>3982</v>
      </c>
      <c r="K83" s="58">
        <v>1730</v>
      </c>
      <c r="L83" s="24">
        <v>0.43445504771471599</v>
      </c>
      <c r="N83" s="2" t="s">
        <v>30</v>
      </c>
      <c r="O83" s="2" t="s">
        <v>31</v>
      </c>
      <c r="P83" s="2" t="s">
        <v>190</v>
      </c>
      <c r="Q83" s="2" t="s">
        <v>74</v>
      </c>
      <c r="R83" s="23">
        <v>89</v>
      </c>
      <c r="S83" s="23">
        <v>30</v>
      </c>
      <c r="T83" s="24">
        <v>0.33707865168539303</v>
      </c>
      <c r="U83" s="14" t="str">
        <f>VLOOKUP(flu_staff[[#This Row],[trust_code]],trust_lookup[],3,0)</f>
        <v>BHR</v>
      </c>
      <c r="W83" s="2" t="s">
        <v>157</v>
      </c>
      <c r="X83" s="2" t="s">
        <v>158</v>
      </c>
      <c r="Y83" s="2" t="s">
        <v>27</v>
      </c>
      <c r="Z83" s="2" t="s">
        <v>88</v>
      </c>
      <c r="AA83" s="23">
        <v>334</v>
      </c>
      <c r="AB83" s="23">
        <v>83</v>
      </c>
      <c r="AC83" s="24">
        <v>0.24850299401197601</v>
      </c>
      <c r="AD83" s="14" t="str">
        <f>VLOOKUP(flu_eth_ep[[#This Row],[trust_code]],trust_lookup[],3,0)</f>
        <v>Royal Free</v>
      </c>
      <c r="AE83" s="14" t="str">
        <f>VLOOKUP(flu_eth_ep[[#This Row],[trust_code]],trust_lookup[],4,0)</f>
        <v>Acute</v>
      </c>
    </row>
    <row r="84" spans="2:31" x14ac:dyDescent="0.35">
      <c r="B84" s="2" t="s">
        <v>246</v>
      </c>
      <c r="C84" s="2" t="s">
        <v>247</v>
      </c>
      <c r="D84" s="2" t="s">
        <v>197</v>
      </c>
      <c r="E84" s="2" t="s">
        <v>24</v>
      </c>
      <c r="F84" s="23">
        <v>1292</v>
      </c>
      <c r="G84" s="23">
        <v>737</v>
      </c>
      <c r="H84" s="24">
        <v>0.570433436532507</v>
      </c>
      <c r="I84" s="24">
        <v>0.51019711899999998</v>
      </c>
      <c r="J84" s="58">
        <v>953</v>
      </c>
      <c r="K84" s="58">
        <v>508</v>
      </c>
      <c r="L84" s="24">
        <v>0.53305351521511002</v>
      </c>
      <c r="N84" s="2" t="s">
        <v>30</v>
      </c>
      <c r="O84" s="2" t="s">
        <v>31</v>
      </c>
      <c r="P84" s="2" t="s">
        <v>190</v>
      </c>
      <c r="Q84" s="2" t="s">
        <v>81</v>
      </c>
      <c r="R84" s="23">
        <v>1718</v>
      </c>
      <c r="S84" s="23">
        <v>590</v>
      </c>
      <c r="T84" s="24">
        <v>0.34342258440046503</v>
      </c>
      <c r="U84" s="14" t="str">
        <f>VLOOKUP(flu_staff[[#This Row],[trust_code]],trust_lookup[],3,0)</f>
        <v>BHR</v>
      </c>
      <c r="W84" s="2" t="s">
        <v>157</v>
      </c>
      <c r="X84" s="2" t="s">
        <v>158</v>
      </c>
      <c r="Y84" s="2" t="s">
        <v>27</v>
      </c>
      <c r="Z84" s="2" t="s">
        <v>112</v>
      </c>
      <c r="AA84" s="23">
        <v>1540</v>
      </c>
      <c r="AB84" s="23">
        <v>531</v>
      </c>
      <c r="AC84" s="24">
        <v>0.344805194805194</v>
      </c>
      <c r="AD84" s="14" t="str">
        <f>VLOOKUP(flu_eth_ep[[#This Row],[trust_code]],trust_lookup[],3,0)</f>
        <v>Royal Free</v>
      </c>
      <c r="AE84" s="14" t="str">
        <f>VLOOKUP(flu_eth_ep[[#This Row],[trust_code]],trust_lookup[],4,0)</f>
        <v>Acute</v>
      </c>
    </row>
    <row r="85" spans="2:31" x14ac:dyDescent="0.35">
      <c r="B85" s="2" t="s">
        <v>248</v>
      </c>
      <c r="C85" s="2" t="s">
        <v>249</v>
      </c>
      <c r="D85" s="2" t="s">
        <v>197</v>
      </c>
      <c r="E85" s="2" t="s">
        <v>24</v>
      </c>
      <c r="F85" s="23">
        <v>2409</v>
      </c>
      <c r="G85" s="23">
        <v>1129</v>
      </c>
      <c r="H85" s="24">
        <v>0.46865919468659101</v>
      </c>
      <c r="I85" s="24">
        <v>0.482059448</v>
      </c>
      <c r="J85" s="58">
        <v>504</v>
      </c>
      <c r="K85" s="58">
        <v>280</v>
      </c>
      <c r="L85" s="24">
        <v>0.55555555555555503</v>
      </c>
      <c r="N85" s="2" t="s">
        <v>30</v>
      </c>
      <c r="O85" s="2" t="s">
        <v>31</v>
      </c>
      <c r="P85" s="2" t="s">
        <v>190</v>
      </c>
      <c r="Q85" s="2" t="s">
        <v>60</v>
      </c>
      <c r="R85" s="23">
        <v>515</v>
      </c>
      <c r="S85" s="23">
        <v>206</v>
      </c>
      <c r="T85" s="24">
        <v>0.4</v>
      </c>
      <c r="U85" s="14" t="str">
        <f>VLOOKUP(flu_staff[[#This Row],[trust_code]],trust_lookup[],3,0)</f>
        <v>BHR</v>
      </c>
      <c r="W85" s="2" t="s">
        <v>157</v>
      </c>
      <c r="X85" s="2" t="s">
        <v>158</v>
      </c>
      <c r="Y85" s="2" t="s">
        <v>27</v>
      </c>
      <c r="Z85" s="2" t="s">
        <v>47</v>
      </c>
      <c r="AA85" s="23">
        <v>224</v>
      </c>
      <c r="AB85" s="23">
        <v>60</v>
      </c>
      <c r="AC85" s="24">
        <v>0.26785714285714202</v>
      </c>
      <c r="AD85" s="14" t="str">
        <f>VLOOKUP(flu_eth_ep[[#This Row],[trust_code]],trust_lookup[],3,0)</f>
        <v>Royal Free</v>
      </c>
      <c r="AE85" s="14" t="str">
        <f>VLOOKUP(flu_eth_ep[[#This Row],[trust_code]],trust_lookup[],4,0)</f>
        <v>Acute</v>
      </c>
    </row>
    <row r="86" spans="2:31" x14ac:dyDescent="0.35">
      <c r="B86" s="2" t="s">
        <v>250</v>
      </c>
      <c r="C86" s="2" t="s">
        <v>251</v>
      </c>
      <c r="D86" s="2" t="s">
        <v>197</v>
      </c>
      <c r="E86" s="2" t="s">
        <v>24</v>
      </c>
      <c r="F86" s="23">
        <v>8072</v>
      </c>
      <c r="G86" s="23">
        <v>4690</v>
      </c>
      <c r="H86" s="24">
        <v>0.58102081268582695</v>
      </c>
      <c r="I86" s="24">
        <v>0.52522635799999995</v>
      </c>
      <c r="J86" s="58">
        <v>1765</v>
      </c>
      <c r="K86" s="58">
        <v>1088</v>
      </c>
      <c r="L86" s="24">
        <v>0.61643059490084895</v>
      </c>
      <c r="N86" s="2" t="s">
        <v>30</v>
      </c>
      <c r="O86" s="2" t="s">
        <v>31</v>
      </c>
      <c r="P86" s="2" t="s">
        <v>190</v>
      </c>
      <c r="Q86" s="2" t="s">
        <v>46</v>
      </c>
      <c r="R86" s="23">
        <v>86</v>
      </c>
      <c r="S86" s="23">
        <v>41</v>
      </c>
      <c r="T86" s="24">
        <v>0.47674418604651098</v>
      </c>
      <c r="U86" s="14" t="str">
        <f>VLOOKUP(flu_staff[[#This Row],[trust_code]],trust_lookup[],3,0)</f>
        <v>BHR</v>
      </c>
      <c r="W86" s="2" t="s">
        <v>157</v>
      </c>
      <c r="X86" s="2" t="s">
        <v>158</v>
      </c>
      <c r="Y86" s="2" t="s">
        <v>27</v>
      </c>
      <c r="Z86" s="2" t="s">
        <v>36</v>
      </c>
      <c r="AA86" s="23">
        <v>24</v>
      </c>
      <c r="AB86" s="23">
        <v>3</v>
      </c>
      <c r="AC86" s="24">
        <v>0.125</v>
      </c>
      <c r="AD86" s="14" t="str">
        <f>VLOOKUP(flu_eth_ep[[#This Row],[trust_code]],trust_lookup[],3,0)</f>
        <v>Royal Free</v>
      </c>
      <c r="AE86" s="14" t="str">
        <f>VLOOKUP(flu_eth_ep[[#This Row],[trust_code]],trust_lookup[],4,0)</f>
        <v>Acute</v>
      </c>
    </row>
    <row r="87" spans="2:31" x14ac:dyDescent="0.35">
      <c r="B87" s="2" t="s">
        <v>252</v>
      </c>
      <c r="C87" s="2" t="s">
        <v>253</v>
      </c>
      <c r="D87" s="2" t="s">
        <v>197</v>
      </c>
      <c r="E87" s="2" t="s">
        <v>24</v>
      </c>
      <c r="F87" s="23">
        <v>3884</v>
      </c>
      <c r="G87" s="23">
        <v>1621</v>
      </c>
      <c r="H87" s="24">
        <v>0.41735324407826901</v>
      </c>
      <c r="I87" s="24">
        <v>0.346760391</v>
      </c>
      <c r="J87" s="58">
        <v>1746</v>
      </c>
      <c r="K87" s="58">
        <v>884</v>
      </c>
      <c r="L87" s="24">
        <v>0.50630011454753698</v>
      </c>
      <c r="N87" s="2" t="s">
        <v>30</v>
      </c>
      <c r="O87" s="2" t="s">
        <v>31</v>
      </c>
      <c r="P87" s="2" t="s">
        <v>190</v>
      </c>
      <c r="Q87" s="2" t="s">
        <v>53</v>
      </c>
      <c r="R87" s="23">
        <v>2583</v>
      </c>
      <c r="S87" s="23">
        <v>1000</v>
      </c>
      <c r="T87" s="24">
        <v>0.38714672861014299</v>
      </c>
      <c r="U87" s="14" t="str">
        <f>VLOOKUP(flu_staff[[#This Row],[trust_code]],trust_lookup[],3,0)</f>
        <v>BHR</v>
      </c>
      <c r="W87" s="2" t="s">
        <v>157</v>
      </c>
      <c r="X87" s="2" t="s">
        <v>158</v>
      </c>
      <c r="Y87" s="2" t="s">
        <v>27</v>
      </c>
      <c r="Z87" s="2" t="s">
        <v>129</v>
      </c>
      <c r="AA87" s="23">
        <v>107</v>
      </c>
      <c r="AB87" s="23">
        <v>24</v>
      </c>
      <c r="AC87" s="24">
        <v>0.22429906542056</v>
      </c>
      <c r="AD87" s="14" t="str">
        <f>VLOOKUP(flu_eth_ep[[#This Row],[trust_code]],trust_lookup[],3,0)</f>
        <v>Royal Free</v>
      </c>
      <c r="AE87" s="14" t="str">
        <f>VLOOKUP(flu_eth_ep[[#This Row],[trust_code]],trust_lookup[],4,0)</f>
        <v>Acute</v>
      </c>
    </row>
    <row r="88" spans="2:31" x14ac:dyDescent="0.35">
      <c r="B88" s="2" t="s">
        <v>254</v>
      </c>
      <c r="C88" s="2" t="s">
        <v>255</v>
      </c>
      <c r="D88" s="2" t="s">
        <v>197</v>
      </c>
      <c r="E88" s="2" t="s">
        <v>24</v>
      </c>
      <c r="F88" s="23">
        <v>5279</v>
      </c>
      <c r="G88" s="23">
        <v>2178</v>
      </c>
      <c r="H88" s="24">
        <v>0.41257813979920399</v>
      </c>
      <c r="I88" s="24">
        <v>0.383208255</v>
      </c>
      <c r="J88" s="58">
        <v>1721</v>
      </c>
      <c r="K88" s="58">
        <v>759</v>
      </c>
      <c r="L88" s="24">
        <v>0.44102266124346301</v>
      </c>
      <c r="N88" s="2" t="s">
        <v>30</v>
      </c>
      <c r="O88" s="2" t="s">
        <v>31</v>
      </c>
      <c r="P88" s="2" t="s">
        <v>190</v>
      </c>
      <c r="Q88" s="2" t="s">
        <v>67</v>
      </c>
      <c r="R88" s="23">
        <v>262</v>
      </c>
      <c r="S88" s="23">
        <v>103</v>
      </c>
      <c r="T88" s="24">
        <v>0.39312977099236601</v>
      </c>
      <c r="U88" s="14" t="str">
        <f>VLOOKUP(flu_staff[[#This Row],[trust_code]],trust_lookup[],3,0)</f>
        <v>BHR</v>
      </c>
      <c r="W88" s="2" t="s">
        <v>157</v>
      </c>
      <c r="X88" s="2" t="s">
        <v>158</v>
      </c>
      <c r="Y88" s="2" t="s">
        <v>27</v>
      </c>
      <c r="Z88" s="2" t="s">
        <v>94</v>
      </c>
      <c r="AA88" s="23">
        <v>135</v>
      </c>
      <c r="AB88" s="23">
        <v>75</v>
      </c>
      <c r="AC88" s="24">
        <v>0.55555555555555503</v>
      </c>
      <c r="AD88" s="14" t="str">
        <f>VLOOKUP(flu_eth_ep[[#This Row],[trust_code]],trust_lookup[],3,0)</f>
        <v>Royal Free</v>
      </c>
      <c r="AE88" s="14" t="str">
        <f>VLOOKUP(flu_eth_ep[[#This Row],[trust_code]],trust_lookup[],4,0)</f>
        <v>Acute</v>
      </c>
    </row>
    <row r="89" spans="2:31" x14ac:dyDescent="0.35">
      <c r="B89" s="2" t="s">
        <v>256</v>
      </c>
      <c r="C89" s="2" t="s">
        <v>257</v>
      </c>
      <c r="D89" s="2" t="s">
        <v>197</v>
      </c>
      <c r="E89" s="2" t="s">
        <v>24</v>
      </c>
      <c r="F89" s="23">
        <v>4436</v>
      </c>
      <c r="G89" s="23">
        <v>1842</v>
      </c>
      <c r="H89" s="24">
        <v>0.41523895401262401</v>
      </c>
      <c r="I89" s="24">
        <v>0.42399219799999999</v>
      </c>
      <c r="J89" s="58">
        <v>1320</v>
      </c>
      <c r="K89" s="58">
        <v>605</v>
      </c>
      <c r="L89" s="24">
        <v>0.45833333333333298</v>
      </c>
      <c r="N89" s="2" t="s">
        <v>30</v>
      </c>
      <c r="O89" s="2" t="s">
        <v>31</v>
      </c>
      <c r="P89" s="2" t="s">
        <v>190</v>
      </c>
      <c r="Q89" s="2" t="s">
        <v>42</v>
      </c>
      <c r="R89" s="23">
        <v>1674</v>
      </c>
      <c r="S89" s="23">
        <v>768</v>
      </c>
      <c r="T89" s="24">
        <v>0.45878136200716801</v>
      </c>
      <c r="U89" s="14" t="str">
        <f>VLOOKUP(flu_staff[[#This Row],[trust_code]],trust_lookup[],3,0)</f>
        <v>BHR</v>
      </c>
      <c r="W89" s="2" t="s">
        <v>157</v>
      </c>
      <c r="X89" s="2" t="s">
        <v>158</v>
      </c>
      <c r="Y89" s="2" t="s">
        <v>27</v>
      </c>
      <c r="Z89" s="2" t="s">
        <v>123</v>
      </c>
      <c r="AA89" s="23">
        <v>1946</v>
      </c>
      <c r="AB89" s="23">
        <v>730</v>
      </c>
      <c r="AC89" s="24">
        <v>0.37512846865364802</v>
      </c>
      <c r="AD89" s="14" t="str">
        <f>VLOOKUP(flu_eth_ep[[#This Row],[trust_code]],trust_lookup[],3,0)</f>
        <v>Royal Free</v>
      </c>
      <c r="AE89" s="14" t="str">
        <f>VLOOKUP(flu_eth_ep[[#This Row],[trust_code]],trust_lookup[],4,0)</f>
        <v>Acute</v>
      </c>
    </row>
    <row r="90" spans="2:31" x14ac:dyDescent="0.35">
      <c r="B90" s="2" t="s">
        <v>258</v>
      </c>
      <c r="C90" s="2" t="s">
        <v>259</v>
      </c>
      <c r="D90" s="2" t="s">
        <v>197</v>
      </c>
      <c r="E90" s="2" t="s">
        <v>24</v>
      </c>
      <c r="F90" s="23">
        <v>14406</v>
      </c>
      <c r="G90" s="23">
        <v>6888</v>
      </c>
      <c r="H90" s="24">
        <v>0.478134110787172</v>
      </c>
      <c r="I90" s="24">
        <v>0.469998533</v>
      </c>
      <c r="J90" s="58">
        <v>3903</v>
      </c>
      <c r="K90" s="58">
        <v>1934</v>
      </c>
      <c r="L90" s="24">
        <v>0.49551626953625399</v>
      </c>
      <c r="N90" s="2" t="s">
        <v>30</v>
      </c>
      <c r="O90" s="2" t="s">
        <v>31</v>
      </c>
      <c r="P90" s="2" t="s">
        <v>190</v>
      </c>
      <c r="Q90" s="2" t="s">
        <v>35</v>
      </c>
      <c r="R90" s="23">
        <v>40</v>
      </c>
      <c r="S90" s="23">
        <v>9</v>
      </c>
      <c r="T90" s="24">
        <v>0.22500000000000001</v>
      </c>
      <c r="U90" s="14" t="str">
        <f>VLOOKUP(flu_staff[[#This Row],[trust_code]],trust_lookup[],3,0)</f>
        <v>BHR</v>
      </c>
      <c r="W90" s="2" t="s">
        <v>157</v>
      </c>
      <c r="X90" s="2" t="s">
        <v>158</v>
      </c>
      <c r="Y90" s="2" t="s">
        <v>27</v>
      </c>
      <c r="Z90" s="2" t="s">
        <v>106</v>
      </c>
      <c r="AA90" s="23">
        <v>296</v>
      </c>
      <c r="AB90" s="23">
        <v>154</v>
      </c>
      <c r="AC90" s="24">
        <v>0.52027027027026995</v>
      </c>
      <c r="AD90" s="14" t="str">
        <f>VLOOKUP(flu_eth_ep[[#This Row],[trust_code]],trust_lookup[],3,0)</f>
        <v>Royal Free</v>
      </c>
      <c r="AE90" s="14" t="str">
        <f>VLOOKUP(flu_eth_ep[[#This Row],[trust_code]],trust_lookup[],4,0)</f>
        <v>Acute</v>
      </c>
    </row>
    <row r="91" spans="2:31" x14ac:dyDescent="0.35">
      <c r="B91" s="2" t="s">
        <v>260</v>
      </c>
      <c r="C91" s="2" t="s">
        <v>261</v>
      </c>
      <c r="D91" s="2" t="s">
        <v>197</v>
      </c>
      <c r="E91" s="2" t="s">
        <v>24</v>
      </c>
      <c r="F91" s="23">
        <v>7474</v>
      </c>
      <c r="G91" s="23">
        <v>3193</v>
      </c>
      <c r="H91" s="24">
        <v>0.42721434305592698</v>
      </c>
      <c r="I91" s="24">
        <v>0.41510103799999998</v>
      </c>
      <c r="J91" s="58">
        <v>1819</v>
      </c>
      <c r="K91" s="58">
        <v>934</v>
      </c>
      <c r="L91" s="24">
        <v>0.51346893897746004</v>
      </c>
      <c r="N91" s="2" t="s">
        <v>30</v>
      </c>
      <c r="O91" s="2" t="s">
        <v>31</v>
      </c>
      <c r="P91" s="2" t="s">
        <v>190</v>
      </c>
      <c r="Q91" s="2" t="s">
        <v>28</v>
      </c>
      <c r="R91" s="23">
        <v>0</v>
      </c>
      <c r="S91" s="23">
        <v>0</v>
      </c>
      <c r="U91" s="14" t="str">
        <f>VLOOKUP(flu_staff[[#This Row],[trust_code]],trust_lookup[],3,0)</f>
        <v>BHR</v>
      </c>
      <c r="W91" s="2" t="s">
        <v>157</v>
      </c>
      <c r="X91" s="2" t="s">
        <v>158</v>
      </c>
      <c r="Y91" s="2" t="s">
        <v>27</v>
      </c>
      <c r="Z91" s="2" t="s">
        <v>75</v>
      </c>
      <c r="AA91" s="23">
        <v>739</v>
      </c>
      <c r="AB91" s="23">
        <v>166</v>
      </c>
      <c r="AC91" s="24">
        <v>0.22462787550744201</v>
      </c>
      <c r="AD91" s="14" t="str">
        <f>VLOOKUP(flu_eth_ep[[#This Row],[trust_code]],trust_lookup[],3,0)</f>
        <v>Royal Free</v>
      </c>
      <c r="AE91" s="14" t="str">
        <f>VLOOKUP(flu_eth_ep[[#This Row],[trust_code]],trust_lookup[],4,0)</f>
        <v>Acute</v>
      </c>
    </row>
    <row r="92" spans="2:31" x14ac:dyDescent="0.35">
      <c r="B92" s="2" t="s">
        <v>262</v>
      </c>
      <c r="C92" s="2" t="s">
        <v>263</v>
      </c>
      <c r="D92" s="2" t="s">
        <v>197</v>
      </c>
      <c r="E92" s="2" t="s">
        <v>24</v>
      </c>
      <c r="F92" s="23">
        <v>5045</v>
      </c>
      <c r="G92" s="23">
        <v>2874</v>
      </c>
      <c r="H92" s="24">
        <v>0.56967294350842401</v>
      </c>
      <c r="I92" s="24">
        <v>0.53245796099999998</v>
      </c>
      <c r="J92" s="58">
        <v>1358</v>
      </c>
      <c r="K92" s="58">
        <v>775</v>
      </c>
      <c r="L92" s="24">
        <v>0.57069219440353403</v>
      </c>
      <c r="N92" s="2" t="s">
        <v>37</v>
      </c>
      <c r="O92" s="2" t="s">
        <v>38</v>
      </c>
      <c r="P92" s="2" t="s">
        <v>190</v>
      </c>
      <c r="Q92" s="2" t="s">
        <v>74</v>
      </c>
      <c r="R92" s="23">
        <v>332</v>
      </c>
      <c r="S92" s="23">
        <v>146</v>
      </c>
      <c r="T92" s="2">
        <v>0.43975903614457801</v>
      </c>
      <c r="U92" s="14" t="str">
        <f>VLOOKUP(flu_staff[[#This Row],[trust_code]],trust_lookup[],3,0)</f>
        <v>Barts</v>
      </c>
      <c r="W92" s="2" t="s">
        <v>157</v>
      </c>
      <c r="X92" s="2" t="s">
        <v>158</v>
      </c>
      <c r="Y92" s="2" t="s">
        <v>27</v>
      </c>
      <c r="Z92" s="2" t="s">
        <v>54</v>
      </c>
      <c r="AA92" s="23">
        <v>2047</v>
      </c>
      <c r="AB92" s="23">
        <v>706</v>
      </c>
      <c r="AC92" s="24">
        <v>0.34489496824621302</v>
      </c>
      <c r="AD92" s="14" t="str">
        <f>VLOOKUP(flu_eth_ep[[#This Row],[trust_code]],trust_lookup[],3,0)</f>
        <v>Royal Free</v>
      </c>
      <c r="AE92" s="14" t="str">
        <f>VLOOKUP(flu_eth_ep[[#This Row],[trust_code]],trust_lookup[],4,0)</f>
        <v>Acute</v>
      </c>
    </row>
    <row r="93" spans="2:31" x14ac:dyDescent="0.35">
      <c r="B93" s="2" t="s">
        <v>232</v>
      </c>
      <c r="C93" s="2" t="s">
        <v>233</v>
      </c>
      <c r="D93" s="2" t="s">
        <v>197</v>
      </c>
      <c r="E93" s="2" t="s">
        <v>24</v>
      </c>
      <c r="F93" s="23">
        <v>3271</v>
      </c>
      <c r="G93" s="23">
        <v>2011</v>
      </c>
      <c r="H93" s="24">
        <v>0.61479669825741301</v>
      </c>
      <c r="I93" s="24">
        <v>0.65401678699999999</v>
      </c>
      <c r="J93" s="58">
        <v>1593</v>
      </c>
      <c r="K93" s="58">
        <v>872</v>
      </c>
      <c r="L93" s="24">
        <v>0.54739485247959796</v>
      </c>
      <c r="N93" s="2" t="s">
        <v>37</v>
      </c>
      <c r="O93" s="2" t="s">
        <v>38</v>
      </c>
      <c r="P93" s="2" t="s">
        <v>190</v>
      </c>
      <c r="Q93" s="2" t="s">
        <v>46</v>
      </c>
      <c r="R93" s="23">
        <v>1282</v>
      </c>
      <c r="S93" s="23">
        <v>262</v>
      </c>
      <c r="T93" s="2">
        <v>0.20436817472698901</v>
      </c>
      <c r="U93" s="14" t="str">
        <f>VLOOKUP(flu_staff[[#This Row],[trust_code]],trust_lookup[],3,0)</f>
        <v>Barts</v>
      </c>
      <c r="W93" s="2" t="s">
        <v>157</v>
      </c>
      <c r="X93" s="2" t="s">
        <v>158</v>
      </c>
      <c r="Y93" s="2" t="s">
        <v>27</v>
      </c>
      <c r="Z93" s="2" t="s">
        <v>61</v>
      </c>
      <c r="AA93" s="23">
        <v>567</v>
      </c>
      <c r="AB93" s="23">
        <v>118</v>
      </c>
      <c r="AC93" s="24">
        <v>0.20811287477954099</v>
      </c>
      <c r="AD93" s="14" t="str">
        <f>VLOOKUP(flu_eth_ep[[#This Row],[trust_code]],trust_lookup[],3,0)</f>
        <v>Royal Free</v>
      </c>
      <c r="AE93" s="14" t="str">
        <f>VLOOKUP(flu_eth_ep[[#This Row],[trust_code]],trust_lookup[],4,0)</f>
        <v>Acute</v>
      </c>
    </row>
    <row r="94" spans="2:31" x14ac:dyDescent="0.35">
      <c r="B94" s="2" t="s">
        <v>264</v>
      </c>
      <c r="C94" s="2" t="s">
        <v>265</v>
      </c>
      <c r="D94" s="2" t="s">
        <v>197</v>
      </c>
      <c r="E94" s="2" t="s">
        <v>24</v>
      </c>
      <c r="F94" s="23">
        <v>1608</v>
      </c>
      <c r="G94" s="23">
        <v>845</v>
      </c>
      <c r="H94" s="24">
        <v>0.52549751243781095</v>
      </c>
      <c r="I94" s="24">
        <v>0.55314070400000004</v>
      </c>
      <c r="J94" s="58">
        <v>366</v>
      </c>
      <c r="K94" s="58">
        <v>210</v>
      </c>
      <c r="L94" s="24">
        <v>0.57377049180327799</v>
      </c>
      <c r="N94" s="2" t="s">
        <v>37</v>
      </c>
      <c r="O94" s="2" t="s">
        <v>38</v>
      </c>
      <c r="P94" s="2" t="s">
        <v>190</v>
      </c>
      <c r="Q94" s="2" t="s">
        <v>81</v>
      </c>
      <c r="R94" s="23">
        <v>3285</v>
      </c>
      <c r="S94" s="23">
        <v>835</v>
      </c>
      <c r="T94" s="2">
        <v>0.25418569254185602</v>
      </c>
      <c r="U94" s="14" t="str">
        <f>VLOOKUP(flu_staff[[#This Row],[trust_code]],trust_lookup[],3,0)</f>
        <v>Barts</v>
      </c>
      <c r="W94" s="2" t="s">
        <v>157</v>
      </c>
      <c r="X94" s="2" t="s">
        <v>158</v>
      </c>
      <c r="Y94" s="2" t="s">
        <v>27</v>
      </c>
      <c r="Z94" s="2" t="s">
        <v>68</v>
      </c>
      <c r="AA94" s="23">
        <v>3849</v>
      </c>
      <c r="AB94" s="23">
        <v>2056</v>
      </c>
      <c r="AC94" s="24">
        <v>0.534164718108599</v>
      </c>
      <c r="AD94" s="14" t="str">
        <f>VLOOKUP(flu_eth_ep[[#This Row],[trust_code]],trust_lookup[],3,0)</f>
        <v>Royal Free</v>
      </c>
      <c r="AE94" s="14" t="str">
        <f>VLOOKUP(flu_eth_ep[[#This Row],[trust_code]],trust_lookup[],4,0)</f>
        <v>Acute</v>
      </c>
    </row>
    <row r="95" spans="2:31" x14ac:dyDescent="0.35">
      <c r="B95" s="2" t="s">
        <v>266</v>
      </c>
      <c r="C95" s="2" t="s">
        <v>267</v>
      </c>
      <c r="D95" s="2" t="s">
        <v>197</v>
      </c>
      <c r="E95" s="2" t="s">
        <v>24</v>
      </c>
      <c r="F95" s="23">
        <v>1238</v>
      </c>
      <c r="G95" s="23">
        <v>656</v>
      </c>
      <c r="H95" s="24">
        <v>0.52988691437802904</v>
      </c>
      <c r="I95" s="24">
        <v>0.358246597</v>
      </c>
      <c r="J95" s="58">
        <v>692</v>
      </c>
      <c r="K95" s="58">
        <v>359</v>
      </c>
      <c r="L95" s="24">
        <v>0.51878612716762995</v>
      </c>
      <c r="N95" s="2" t="s">
        <v>37</v>
      </c>
      <c r="O95" s="2" t="s">
        <v>38</v>
      </c>
      <c r="P95" s="2" t="s">
        <v>190</v>
      </c>
      <c r="Q95" s="2" t="s">
        <v>28</v>
      </c>
      <c r="R95" s="23">
        <v>1464</v>
      </c>
      <c r="S95" s="23">
        <v>376</v>
      </c>
      <c r="T95" s="2">
        <v>0.25683060109289602</v>
      </c>
      <c r="U95" s="14" t="str">
        <f>VLOOKUP(flu_staff[[#This Row],[trust_code]],trust_lookup[],3,0)</f>
        <v>Barts</v>
      </c>
      <c r="W95" s="2" t="s">
        <v>161</v>
      </c>
      <c r="X95" s="2" t="s">
        <v>162</v>
      </c>
      <c r="Y95" s="2" t="s">
        <v>27</v>
      </c>
      <c r="Z95" s="2" t="s">
        <v>94</v>
      </c>
      <c r="AA95" s="23">
        <v>13</v>
      </c>
      <c r="AB95" s="23">
        <v>5</v>
      </c>
      <c r="AC95" s="24">
        <v>0.38461538461538403</v>
      </c>
      <c r="AD95" s="14" t="str">
        <f>VLOOKUP(flu_eth_ep[[#This Row],[trust_code]],trust_lookup[],3,0)</f>
        <v>RNOH</v>
      </c>
      <c r="AE95" s="14" t="str">
        <f>VLOOKUP(flu_eth_ep[[#This Row],[trust_code]],trust_lookup[],4,0)</f>
        <v>Specialist</v>
      </c>
    </row>
    <row r="96" spans="2:31" x14ac:dyDescent="0.35">
      <c r="B96" s="2" t="s">
        <v>268</v>
      </c>
      <c r="C96" s="2" t="s">
        <v>269</v>
      </c>
      <c r="D96" s="2" t="s">
        <v>197</v>
      </c>
      <c r="E96" s="2" t="s">
        <v>24</v>
      </c>
      <c r="F96" s="23">
        <v>6555</v>
      </c>
      <c r="G96" s="23">
        <v>3536</v>
      </c>
      <c r="H96" s="24">
        <v>0.539435545385202</v>
      </c>
      <c r="I96" s="24">
        <v>0.52521257799999999</v>
      </c>
      <c r="J96" s="58">
        <v>1432</v>
      </c>
      <c r="K96" s="58">
        <v>791</v>
      </c>
      <c r="L96" s="24">
        <v>0.55237430167597701</v>
      </c>
      <c r="N96" s="2" t="s">
        <v>37</v>
      </c>
      <c r="O96" s="2" t="s">
        <v>38</v>
      </c>
      <c r="P96" s="2" t="s">
        <v>190</v>
      </c>
      <c r="Q96" s="2" t="s">
        <v>60</v>
      </c>
      <c r="R96" s="23">
        <v>1687</v>
      </c>
      <c r="S96" s="23">
        <v>578</v>
      </c>
      <c r="T96" s="2">
        <v>0.342620035566093</v>
      </c>
      <c r="U96" s="14" t="str">
        <f>VLOOKUP(flu_staff[[#This Row],[trust_code]],trust_lookup[],3,0)</f>
        <v>Barts</v>
      </c>
      <c r="W96" s="2" t="s">
        <v>161</v>
      </c>
      <c r="X96" s="2" t="s">
        <v>162</v>
      </c>
      <c r="Y96" s="2" t="s">
        <v>27</v>
      </c>
      <c r="Z96" s="2" t="s">
        <v>29</v>
      </c>
      <c r="AA96" s="23">
        <v>11</v>
      </c>
      <c r="AB96" s="23">
        <v>4</v>
      </c>
      <c r="AC96" s="24">
        <v>0.36363636363636298</v>
      </c>
      <c r="AD96" s="14" t="str">
        <f>VLOOKUP(flu_eth_ep[[#This Row],[trust_code]],trust_lookup[],3,0)</f>
        <v>RNOH</v>
      </c>
      <c r="AE96" s="14" t="str">
        <f>VLOOKUP(flu_eth_ep[[#This Row],[trust_code]],trust_lookup[],4,0)</f>
        <v>Specialist</v>
      </c>
    </row>
    <row r="97" spans="2:31" x14ac:dyDescent="0.35">
      <c r="B97" s="2" t="s">
        <v>270</v>
      </c>
      <c r="C97" s="2" t="s">
        <v>271</v>
      </c>
      <c r="D97" s="2" t="s">
        <v>197</v>
      </c>
      <c r="E97" s="2" t="s">
        <v>24</v>
      </c>
      <c r="F97" s="23">
        <v>9219</v>
      </c>
      <c r="G97" s="23">
        <v>4171</v>
      </c>
      <c r="H97" s="24">
        <v>0.45243518819828599</v>
      </c>
      <c r="I97" s="24">
        <v>0.45846810399999999</v>
      </c>
      <c r="J97" s="58">
        <v>2812</v>
      </c>
      <c r="K97" s="58">
        <v>1443</v>
      </c>
      <c r="L97" s="24">
        <v>0.51315789473684204</v>
      </c>
      <c r="N97" s="2" t="s">
        <v>37</v>
      </c>
      <c r="O97" s="2" t="s">
        <v>38</v>
      </c>
      <c r="P97" s="2" t="s">
        <v>190</v>
      </c>
      <c r="Q97" s="2" t="s">
        <v>35</v>
      </c>
      <c r="R97" s="23">
        <v>29</v>
      </c>
      <c r="S97" s="23">
        <v>5</v>
      </c>
      <c r="T97" s="2">
        <v>0.17241379310344801</v>
      </c>
      <c r="U97" s="14" t="str">
        <f>VLOOKUP(flu_staff[[#This Row],[trust_code]],trust_lookup[],3,0)</f>
        <v>Barts</v>
      </c>
      <c r="W97" s="2" t="s">
        <v>161</v>
      </c>
      <c r="X97" s="2" t="s">
        <v>162</v>
      </c>
      <c r="Y97" s="2" t="s">
        <v>27</v>
      </c>
      <c r="Z97" s="2" t="s">
        <v>123</v>
      </c>
      <c r="AA97" s="23">
        <v>135</v>
      </c>
      <c r="AB97" s="23">
        <v>59</v>
      </c>
      <c r="AC97" s="24">
        <v>0.437037037037037</v>
      </c>
      <c r="AD97" s="14" t="str">
        <f>VLOOKUP(flu_eth_ep[[#This Row],[trust_code]],trust_lookup[],3,0)</f>
        <v>RNOH</v>
      </c>
      <c r="AE97" s="14" t="str">
        <f>VLOOKUP(flu_eth_ep[[#This Row],[trust_code]],trust_lookup[],4,0)</f>
        <v>Specialist</v>
      </c>
    </row>
    <row r="98" spans="2:31" x14ac:dyDescent="0.35">
      <c r="B98" s="2" t="s">
        <v>272</v>
      </c>
      <c r="C98" s="2" t="s">
        <v>273</v>
      </c>
      <c r="D98" s="2" t="s">
        <v>197</v>
      </c>
      <c r="E98" s="2" t="s">
        <v>24</v>
      </c>
      <c r="F98" s="23">
        <v>1677</v>
      </c>
      <c r="G98" s="23">
        <v>897</v>
      </c>
      <c r="H98" s="24">
        <v>0.53488372093023195</v>
      </c>
      <c r="I98" s="24">
        <v>0.531166464</v>
      </c>
      <c r="J98" s="58">
        <v>289</v>
      </c>
      <c r="K98" s="58">
        <v>176</v>
      </c>
      <c r="L98" s="24">
        <v>0.60899653979238699</v>
      </c>
      <c r="N98" s="2" t="s">
        <v>37</v>
      </c>
      <c r="O98" s="2" t="s">
        <v>38</v>
      </c>
      <c r="P98" s="2" t="s">
        <v>190</v>
      </c>
      <c r="Q98" s="2" t="s">
        <v>67</v>
      </c>
      <c r="R98" s="23">
        <v>939</v>
      </c>
      <c r="S98" s="23">
        <v>268</v>
      </c>
      <c r="T98" s="2">
        <v>0.28541001064962701</v>
      </c>
      <c r="U98" s="14" t="str">
        <f>VLOOKUP(flu_staff[[#This Row],[trust_code]],trust_lookup[],3,0)</f>
        <v>Barts</v>
      </c>
      <c r="W98" s="2" t="s">
        <v>161</v>
      </c>
      <c r="X98" s="2" t="s">
        <v>162</v>
      </c>
      <c r="Y98" s="2" t="s">
        <v>27</v>
      </c>
      <c r="Z98" s="2" t="s">
        <v>135</v>
      </c>
      <c r="AA98" s="23">
        <v>12</v>
      </c>
      <c r="AB98" s="23">
        <v>6</v>
      </c>
      <c r="AC98" s="24">
        <v>0.5</v>
      </c>
      <c r="AD98" s="14" t="str">
        <f>VLOOKUP(flu_eth_ep[[#This Row],[trust_code]],trust_lookup[],3,0)</f>
        <v>RNOH</v>
      </c>
      <c r="AE98" s="14" t="str">
        <f>VLOOKUP(flu_eth_ep[[#This Row],[trust_code]],trust_lookup[],4,0)</f>
        <v>Specialist</v>
      </c>
    </row>
    <row r="99" spans="2:31" x14ac:dyDescent="0.35">
      <c r="B99" s="2" t="s">
        <v>274</v>
      </c>
      <c r="C99" s="2" t="s">
        <v>275</v>
      </c>
      <c r="D99" s="2" t="s">
        <v>197</v>
      </c>
      <c r="E99" s="2" t="s">
        <v>24</v>
      </c>
      <c r="F99" s="23">
        <v>10576</v>
      </c>
      <c r="G99" s="23">
        <v>5674</v>
      </c>
      <c r="H99" s="24">
        <v>0.53649773071104301</v>
      </c>
      <c r="I99" s="24">
        <v>0.50260333899999998</v>
      </c>
      <c r="J99" s="58">
        <v>2196</v>
      </c>
      <c r="K99" s="58">
        <v>1185</v>
      </c>
      <c r="L99" s="24">
        <v>0.53961748633879703</v>
      </c>
      <c r="N99" s="2" t="s">
        <v>37</v>
      </c>
      <c r="O99" s="2" t="s">
        <v>38</v>
      </c>
      <c r="P99" s="2" t="s">
        <v>190</v>
      </c>
      <c r="Q99" s="2" t="s">
        <v>53</v>
      </c>
      <c r="R99" s="23">
        <v>5905</v>
      </c>
      <c r="S99" s="23">
        <v>1913</v>
      </c>
      <c r="T99" s="2">
        <v>0.32396274343776399</v>
      </c>
      <c r="U99" s="14" t="str">
        <f>VLOOKUP(flu_staff[[#This Row],[trust_code]],trust_lookup[],3,0)</f>
        <v>Barts</v>
      </c>
      <c r="W99" s="2" t="s">
        <v>161</v>
      </c>
      <c r="X99" s="2" t="s">
        <v>162</v>
      </c>
      <c r="Y99" s="2" t="s">
        <v>27</v>
      </c>
      <c r="Z99" s="2" t="s">
        <v>36</v>
      </c>
      <c r="AA99" s="23">
        <v>64</v>
      </c>
      <c r="AB99" s="23">
        <v>24</v>
      </c>
      <c r="AC99" s="24">
        <v>0.375</v>
      </c>
      <c r="AD99" s="14" t="str">
        <f>VLOOKUP(flu_eth_ep[[#This Row],[trust_code]],trust_lookup[],3,0)</f>
        <v>RNOH</v>
      </c>
      <c r="AE99" s="14" t="str">
        <f>VLOOKUP(flu_eth_ep[[#This Row],[trust_code]],trust_lookup[],4,0)</f>
        <v>Specialist</v>
      </c>
    </row>
    <row r="100" spans="2:31" x14ac:dyDescent="0.35">
      <c r="B100" s="2" t="s">
        <v>276</v>
      </c>
      <c r="C100" s="2" t="s">
        <v>277</v>
      </c>
      <c r="D100" s="2" t="s">
        <v>278</v>
      </c>
      <c r="E100" s="2" t="s">
        <v>24</v>
      </c>
      <c r="F100" s="23">
        <v>4088</v>
      </c>
      <c r="G100" s="23">
        <v>2722</v>
      </c>
      <c r="H100" s="24">
        <v>0.66585127201565497</v>
      </c>
      <c r="I100" s="24">
        <v>0.638264422</v>
      </c>
      <c r="J100" s="58">
        <v>1220</v>
      </c>
      <c r="K100" s="58">
        <v>772</v>
      </c>
      <c r="L100" s="24">
        <v>0.63278688524590099</v>
      </c>
      <c r="N100" s="2" t="s">
        <v>37</v>
      </c>
      <c r="O100" s="2" t="s">
        <v>38</v>
      </c>
      <c r="P100" s="2" t="s">
        <v>190</v>
      </c>
      <c r="Q100" s="2" t="s">
        <v>42</v>
      </c>
      <c r="R100" s="23">
        <v>6501</v>
      </c>
      <c r="S100" s="23">
        <v>3006</v>
      </c>
      <c r="T100" s="2">
        <v>0.46239040147669502</v>
      </c>
      <c r="U100" s="14" t="str">
        <f>VLOOKUP(flu_staff[[#This Row],[trust_code]],trust_lookup[],3,0)</f>
        <v>Barts</v>
      </c>
      <c r="W100" s="2" t="s">
        <v>161</v>
      </c>
      <c r="X100" s="2" t="s">
        <v>162</v>
      </c>
      <c r="Y100" s="2" t="s">
        <v>27</v>
      </c>
      <c r="Z100" s="2" t="s">
        <v>75</v>
      </c>
      <c r="AA100" s="23">
        <v>22</v>
      </c>
      <c r="AB100" s="23">
        <v>3</v>
      </c>
      <c r="AC100" s="24">
        <v>0.13636363636363599</v>
      </c>
      <c r="AD100" s="14" t="str">
        <f>VLOOKUP(flu_eth_ep[[#This Row],[trust_code]],trust_lookup[],3,0)</f>
        <v>RNOH</v>
      </c>
      <c r="AE100" s="14" t="str">
        <f>VLOOKUP(flu_eth_ep[[#This Row],[trust_code]],trust_lookup[],4,0)</f>
        <v>Specialist</v>
      </c>
    </row>
    <row r="101" spans="2:31" x14ac:dyDescent="0.35">
      <c r="B101" s="2" t="s">
        <v>279</v>
      </c>
      <c r="C101" s="2" t="s">
        <v>280</v>
      </c>
      <c r="D101" s="2" t="s">
        <v>278</v>
      </c>
      <c r="E101" s="2" t="s">
        <v>24</v>
      </c>
      <c r="F101" s="23">
        <v>7420</v>
      </c>
      <c r="G101" s="23">
        <v>3797</v>
      </c>
      <c r="H101" s="24">
        <v>0.51172506738544399</v>
      </c>
      <c r="I101" s="24">
        <v>0.516193656</v>
      </c>
      <c r="J101" s="58">
        <v>2347</v>
      </c>
      <c r="K101" s="58">
        <v>1228</v>
      </c>
      <c r="L101" s="24">
        <v>0.52322113336173803</v>
      </c>
      <c r="N101" s="2" t="s">
        <v>69</v>
      </c>
      <c r="O101" s="2" t="s">
        <v>70</v>
      </c>
      <c r="P101" s="2" t="s">
        <v>190</v>
      </c>
      <c r="Q101" s="2" t="s">
        <v>46</v>
      </c>
      <c r="R101" s="23">
        <v>24</v>
      </c>
      <c r="S101" s="23">
        <v>9</v>
      </c>
      <c r="T101" s="2">
        <v>0.375</v>
      </c>
      <c r="U101" s="14" t="str">
        <f>VLOOKUP(flu_staff[[#This Row],[trust_code]],trust_lookup[],3,0)</f>
        <v>ELFT</v>
      </c>
      <c r="W101" s="2" t="s">
        <v>161</v>
      </c>
      <c r="X101" s="2" t="s">
        <v>162</v>
      </c>
      <c r="Y101" s="2" t="s">
        <v>27</v>
      </c>
      <c r="Z101" s="2" t="s">
        <v>129</v>
      </c>
      <c r="AA101" s="23">
        <v>5</v>
      </c>
      <c r="AB101" s="23">
        <v>1</v>
      </c>
      <c r="AC101" s="24">
        <v>0.2</v>
      </c>
      <c r="AD101" s="14" t="str">
        <f>VLOOKUP(flu_eth_ep[[#This Row],[trust_code]],trust_lookup[],3,0)</f>
        <v>RNOH</v>
      </c>
      <c r="AE101" s="14" t="str">
        <f>VLOOKUP(flu_eth_ep[[#This Row],[trust_code]],trust_lookup[],4,0)</f>
        <v>Specialist</v>
      </c>
    </row>
    <row r="102" spans="2:31" x14ac:dyDescent="0.35">
      <c r="B102" s="2" t="s">
        <v>281</v>
      </c>
      <c r="C102" s="2" t="s">
        <v>282</v>
      </c>
      <c r="D102" s="2" t="s">
        <v>278</v>
      </c>
      <c r="E102" s="2" t="s">
        <v>24</v>
      </c>
      <c r="F102" s="23">
        <v>2530</v>
      </c>
      <c r="G102" s="23">
        <v>1669</v>
      </c>
      <c r="H102" s="24">
        <v>0.65968379446640302</v>
      </c>
      <c r="I102" s="24">
        <v>0.58773212200000002</v>
      </c>
      <c r="J102" s="58">
        <v>803</v>
      </c>
      <c r="K102" s="58">
        <v>633</v>
      </c>
      <c r="L102" s="24">
        <v>0.78829389788293902</v>
      </c>
      <c r="N102" s="2" t="s">
        <v>69</v>
      </c>
      <c r="O102" s="2" t="s">
        <v>70</v>
      </c>
      <c r="P102" s="2" t="s">
        <v>190</v>
      </c>
      <c r="Q102" s="2" t="s">
        <v>81</v>
      </c>
      <c r="R102" s="23">
        <v>2829</v>
      </c>
      <c r="S102" s="23">
        <v>714</v>
      </c>
      <c r="T102" s="2">
        <v>0.25238600212089002</v>
      </c>
      <c r="U102" s="14" t="str">
        <f>VLOOKUP(flu_staff[[#This Row],[trust_code]],trust_lookup[],3,0)</f>
        <v>ELFT</v>
      </c>
      <c r="W102" s="2" t="s">
        <v>161</v>
      </c>
      <c r="X102" s="2" t="s">
        <v>162</v>
      </c>
      <c r="Y102" s="2" t="s">
        <v>27</v>
      </c>
      <c r="Z102" s="2" t="s">
        <v>68</v>
      </c>
      <c r="AA102" s="23">
        <v>266</v>
      </c>
      <c r="AB102" s="23">
        <v>160</v>
      </c>
      <c r="AC102" s="24">
        <v>0.60150375939849599</v>
      </c>
      <c r="AD102" s="14" t="str">
        <f>VLOOKUP(flu_eth_ep[[#This Row],[trust_code]],trust_lookup[],3,0)</f>
        <v>RNOH</v>
      </c>
      <c r="AE102" s="14" t="str">
        <f>VLOOKUP(flu_eth_ep[[#This Row],[trust_code]],trust_lookup[],4,0)</f>
        <v>Specialist</v>
      </c>
    </row>
    <row r="103" spans="2:31" x14ac:dyDescent="0.35">
      <c r="B103" s="2" t="s">
        <v>283</v>
      </c>
      <c r="C103" s="2" t="s">
        <v>284</v>
      </c>
      <c r="D103" s="2" t="s">
        <v>278</v>
      </c>
      <c r="E103" s="2" t="s">
        <v>24</v>
      </c>
      <c r="F103" s="23">
        <v>6001</v>
      </c>
      <c r="G103" s="23">
        <v>3081</v>
      </c>
      <c r="H103" s="24">
        <v>0.51341443092817796</v>
      </c>
      <c r="I103" s="24">
        <v>0.51678966800000004</v>
      </c>
      <c r="J103" s="58">
        <v>2039</v>
      </c>
      <c r="K103" s="58">
        <v>971</v>
      </c>
      <c r="L103" s="24">
        <v>0.47621383030897402</v>
      </c>
      <c r="N103" s="2" t="s">
        <v>69</v>
      </c>
      <c r="O103" s="2" t="s">
        <v>70</v>
      </c>
      <c r="P103" s="2" t="s">
        <v>190</v>
      </c>
      <c r="Q103" s="2" t="s">
        <v>67</v>
      </c>
      <c r="R103" s="23">
        <v>949</v>
      </c>
      <c r="S103" s="23">
        <v>373</v>
      </c>
      <c r="T103" s="2">
        <v>0.39304531085353001</v>
      </c>
      <c r="U103" s="14" t="str">
        <f>VLOOKUP(flu_staff[[#This Row],[trust_code]],trust_lookup[],3,0)</f>
        <v>ELFT</v>
      </c>
      <c r="W103" s="2" t="s">
        <v>161</v>
      </c>
      <c r="X103" s="2" t="s">
        <v>162</v>
      </c>
      <c r="Y103" s="2" t="s">
        <v>27</v>
      </c>
      <c r="Z103" s="2" t="s">
        <v>54</v>
      </c>
      <c r="AA103" s="23">
        <v>105</v>
      </c>
      <c r="AB103" s="23">
        <v>41</v>
      </c>
      <c r="AC103" s="24">
        <v>0.39047619047618998</v>
      </c>
      <c r="AD103" s="14" t="str">
        <f>VLOOKUP(flu_eth_ep[[#This Row],[trust_code]],trust_lookup[],3,0)</f>
        <v>RNOH</v>
      </c>
      <c r="AE103" s="14" t="str">
        <f>VLOOKUP(flu_eth_ep[[#This Row],[trust_code]],trust_lookup[],4,0)</f>
        <v>Specialist</v>
      </c>
    </row>
    <row r="104" spans="2:31" x14ac:dyDescent="0.35">
      <c r="B104" s="2" t="s">
        <v>285</v>
      </c>
      <c r="C104" s="2" t="s">
        <v>286</v>
      </c>
      <c r="D104" s="2" t="s">
        <v>278</v>
      </c>
      <c r="E104" s="2" t="s">
        <v>24</v>
      </c>
      <c r="F104" s="23">
        <v>8644</v>
      </c>
      <c r="G104" s="23">
        <v>4431</v>
      </c>
      <c r="H104" s="24">
        <v>0.51260990282276697</v>
      </c>
      <c r="I104" s="24">
        <v>0.45140929199999902</v>
      </c>
      <c r="J104" s="58">
        <v>1954</v>
      </c>
      <c r="K104" s="58">
        <v>1124</v>
      </c>
      <c r="L104" s="24">
        <v>0.57523029682702098</v>
      </c>
      <c r="N104" s="2" t="s">
        <v>69</v>
      </c>
      <c r="O104" s="2" t="s">
        <v>70</v>
      </c>
      <c r="P104" s="2" t="s">
        <v>190</v>
      </c>
      <c r="Q104" s="2" t="s">
        <v>53</v>
      </c>
      <c r="R104" s="23">
        <v>1994</v>
      </c>
      <c r="S104" s="23">
        <v>625</v>
      </c>
      <c r="T104" s="2">
        <v>0.31344032096288799</v>
      </c>
      <c r="U104" s="14" t="str">
        <f>VLOOKUP(flu_staff[[#This Row],[trust_code]],trust_lookup[],3,0)</f>
        <v>ELFT</v>
      </c>
      <c r="W104" s="2" t="s">
        <v>161</v>
      </c>
      <c r="X104" s="2" t="s">
        <v>162</v>
      </c>
      <c r="Y104" s="2" t="s">
        <v>27</v>
      </c>
      <c r="Z104" s="2" t="s">
        <v>106</v>
      </c>
      <c r="AA104" s="23">
        <v>12</v>
      </c>
      <c r="AB104" s="23">
        <v>6</v>
      </c>
      <c r="AC104" s="24">
        <v>0.5</v>
      </c>
      <c r="AD104" s="14" t="str">
        <f>VLOOKUP(flu_eth_ep[[#This Row],[trust_code]],trust_lookup[],3,0)</f>
        <v>RNOH</v>
      </c>
      <c r="AE104" s="14" t="str">
        <f>VLOOKUP(flu_eth_ep[[#This Row],[trust_code]],trust_lookup[],4,0)</f>
        <v>Specialist</v>
      </c>
    </row>
    <row r="105" spans="2:31" x14ac:dyDescent="0.35">
      <c r="B105" s="2" t="s">
        <v>287</v>
      </c>
      <c r="C105" s="2" t="s">
        <v>288</v>
      </c>
      <c r="D105" s="2" t="s">
        <v>278</v>
      </c>
      <c r="E105" s="2" t="s">
        <v>24</v>
      </c>
      <c r="F105" s="23">
        <v>7167</v>
      </c>
      <c r="G105" s="23">
        <v>3718</v>
      </c>
      <c r="H105" s="24">
        <v>0.51876656899678997</v>
      </c>
      <c r="I105" s="24">
        <v>0.53711529999999996</v>
      </c>
      <c r="J105" s="58">
        <v>1574</v>
      </c>
      <c r="K105" s="58">
        <v>855</v>
      </c>
      <c r="L105" s="24">
        <v>0.543202033036848</v>
      </c>
      <c r="N105" s="2" t="s">
        <v>69</v>
      </c>
      <c r="O105" s="2" t="s">
        <v>70</v>
      </c>
      <c r="P105" s="2" t="s">
        <v>190</v>
      </c>
      <c r="Q105" s="2" t="s">
        <v>60</v>
      </c>
      <c r="R105" s="23">
        <v>560</v>
      </c>
      <c r="S105" s="23">
        <v>236</v>
      </c>
      <c r="T105" s="2">
        <v>0.42142857142857099</v>
      </c>
      <c r="U105" s="14" t="str">
        <f>VLOOKUP(flu_staff[[#This Row],[trust_code]],trust_lookup[],3,0)</f>
        <v>ELFT</v>
      </c>
      <c r="W105" s="2" t="s">
        <v>161</v>
      </c>
      <c r="X105" s="2" t="s">
        <v>162</v>
      </c>
      <c r="Y105" s="2" t="s">
        <v>27</v>
      </c>
      <c r="Z105" s="2" t="s">
        <v>141</v>
      </c>
      <c r="AA105" s="23">
        <v>120</v>
      </c>
      <c r="AB105" s="23">
        <v>54</v>
      </c>
      <c r="AC105" s="24">
        <v>0.45</v>
      </c>
      <c r="AD105" s="14" t="str">
        <f>VLOOKUP(flu_eth_ep[[#This Row],[trust_code]],trust_lookup[],3,0)</f>
        <v>RNOH</v>
      </c>
      <c r="AE105" s="14" t="str">
        <f>VLOOKUP(flu_eth_ep[[#This Row],[trust_code]],trust_lookup[],4,0)</f>
        <v>Specialist</v>
      </c>
    </row>
    <row r="106" spans="2:31" x14ac:dyDescent="0.35">
      <c r="B106" s="2" t="s">
        <v>289</v>
      </c>
      <c r="C106" s="2" t="s">
        <v>290</v>
      </c>
      <c r="D106" s="2" t="s">
        <v>278</v>
      </c>
      <c r="E106" s="2" t="s">
        <v>24</v>
      </c>
      <c r="F106" s="23">
        <v>5052</v>
      </c>
      <c r="G106" s="23">
        <v>2328</v>
      </c>
      <c r="H106" s="24">
        <v>0.46080760095011802</v>
      </c>
      <c r="I106" s="24">
        <v>0.45173355900000001</v>
      </c>
      <c r="J106" s="58">
        <v>2942</v>
      </c>
      <c r="K106" s="58">
        <v>1432</v>
      </c>
      <c r="L106" s="24">
        <v>0.48674371176070702</v>
      </c>
      <c r="N106" s="2" t="s">
        <v>69</v>
      </c>
      <c r="O106" s="2" t="s">
        <v>70</v>
      </c>
      <c r="P106" s="2" t="s">
        <v>190</v>
      </c>
      <c r="Q106" s="2" t="s">
        <v>42</v>
      </c>
      <c r="R106" s="23">
        <v>706</v>
      </c>
      <c r="S106" s="23">
        <v>314</v>
      </c>
      <c r="T106" s="2">
        <v>0.44475920679886599</v>
      </c>
      <c r="U106" s="14" t="str">
        <f>VLOOKUP(flu_staff[[#This Row],[trust_code]],trust_lookup[],3,0)</f>
        <v>ELFT</v>
      </c>
      <c r="W106" s="2" t="s">
        <v>161</v>
      </c>
      <c r="X106" s="2" t="s">
        <v>162</v>
      </c>
      <c r="Y106" s="2" t="s">
        <v>27</v>
      </c>
      <c r="Z106" s="2" t="s">
        <v>61</v>
      </c>
      <c r="AA106" s="23">
        <v>16</v>
      </c>
      <c r="AB106" s="23">
        <v>2</v>
      </c>
      <c r="AC106" s="24">
        <v>0.125</v>
      </c>
      <c r="AD106" s="14" t="str">
        <f>VLOOKUP(flu_eth_ep[[#This Row],[trust_code]],trust_lookup[],3,0)</f>
        <v>RNOH</v>
      </c>
      <c r="AE106" s="14" t="str">
        <f>VLOOKUP(flu_eth_ep[[#This Row],[trust_code]],trust_lookup[],4,0)</f>
        <v>Specialist</v>
      </c>
    </row>
    <row r="107" spans="2:31" x14ac:dyDescent="0.35">
      <c r="B107" s="2" t="s">
        <v>291</v>
      </c>
      <c r="C107" s="2" t="s">
        <v>292</v>
      </c>
      <c r="D107" s="2" t="s">
        <v>278</v>
      </c>
      <c r="E107" s="2" t="s">
        <v>24</v>
      </c>
      <c r="F107" s="23">
        <v>4209</v>
      </c>
      <c r="G107" s="23">
        <v>2435</v>
      </c>
      <c r="H107" s="24">
        <v>0.57852221430268402</v>
      </c>
      <c r="I107" s="24">
        <v>0.50418227199999999</v>
      </c>
      <c r="J107" s="58">
        <v>1098</v>
      </c>
      <c r="K107" s="58">
        <v>579</v>
      </c>
      <c r="L107" s="24">
        <v>0.52732240437158395</v>
      </c>
      <c r="N107" s="2" t="s">
        <v>69</v>
      </c>
      <c r="O107" s="2" t="s">
        <v>70</v>
      </c>
      <c r="P107" s="2" t="s">
        <v>190</v>
      </c>
      <c r="Q107" s="2" t="s">
        <v>35</v>
      </c>
      <c r="R107" s="23">
        <v>74</v>
      </c>
      <c r="S107" s="23">
        <v>10</v>
      </c>
      <c r="T107" s="2">
        <v>0.135135135135135</v>
      </c>
      <c r="U107" s="14" t="str">
        <f>VLOOKUP(flu_staff[[#This Row],[trust_code]],trust_lookup[],3,0)</f>
        <v>ELFT</v>
      </c>
      <c r="W107" s="2" t="s">
        <v>161</v>
      </c>
      <c r="X107" s="2" t="s">
        <v>162</v>
      </c>
      <c r="Y107" s="2" t="s">
        <v>27</v>
      </c>
      <c r="Z107" s="2" t="s">
        <v>100</v>
      </c>
      <c r="AA107" s="23">
        <v>106</v>
      </c>
      <c r="AB107" s="23">
        <v>14</v>
      </c>
      <c r="AC107" s="24">
        <v>0.13207547169811301</v>
      </c>
      <c r="AD107" s="14" t="str">
        <f>VLOOKUP(flu_eth_ep[[#This Row],[trust_code]],trust_lookup[],3,0)</f>
        <v>RNOH</v>
      </c>
      <c r="AE107" s="14" t="str">
        <f>VLOOKUP(flu_eth_ep[[#This Row],[trust_code]],trust_lookup[],4,0)</f>
        <v>Specialist</v>
      </c>
    </row>
    <row r="108" spans="2:31" x14ac:dyDescent="0.35">
      <c r="B108" s="2" t="s">
        <v>293</v>
      </c>
      <c r="C108" s="2" t="s">
        <v>294</v>
      </c>
      <c r="D108" s="2" t="s">
        <v>278</v>
      </c>
      <c r="E108" s="2" t="s">
        <v>24</v>
      </c>
      <c r="F108" s="23">
        <v>5739</v>
      </c>
      <c r="G108" s="23">
        <v>3061</v>
      </c>
      <c r="H108" s="24">
        <v>0.53336818261021002</v>
      </c>
      <c r="I108" s="24">
        <v>0.51044332299999995</v>
      </c>
      <c r="J108" s="58">
        <v>1356</v>
      </c>
      <c r="K108" s="58">
        <v>719</v>
      </c>
      <c r="L108" s="24">
        <v>0.53023598820058904</v>
      </c>
      <c r="N108" s="2" t="s">
        <v>69</v>
      </c>
      <c r="O108" s="2" t="s">
        <v>70</v>
      </c>
      <c r="P108" s="2" t="s">
        <v>190</v>
      </c>
      <c r="Q108" s="2" t="s">
        <v>28</v>
      </c>
      <c r="R108" s="23">
        <v>10</v>
      </c>
      <c r="S108" s="23">
        <v>3</v>
      </c>
      <c r="T108" s="2">
        <v>0.3</v>
      </c>
      <c r="U108" s="14" t="str">
        <f>VLOOKUP(flu_staff[[#This Row],[trust_code]],trust_lookup[],3,0)</f>
        <v>ELFT</v>
      </c>
      <c r="W108" s="2" t="s">
        <v>161</v>
      </c>
      <c r="X108" s="2" t="s">
        <v>162</v>
      </c>
      <c r="Y108" s="2" t="s">
        <v>27</v>
      </c>
      <c r="Z108" s="2" t="s">
        <v>82</v>
      </c>
      <c r="AA108" s="23">
        <v>30</v>
      </c>
      <c r="AB108" s="23">
        <v>13</v>
      </c>
      <c r="AC108" s="24">
        <v>0.43333333333333302</v>
      </c>
      <c r="AD108" s="14" t="str">
        <f>VLOOKUP(flu_eth_ep[[#This Row],[trust_code]],trust_lookup[],3,0)</f>
        <v>RNOH</v>
      </c>
      <c r="AE108" s="14" t="str">
        <f>VLOOKUP(flu_eth_ep[[#This Row],[trust_code]],trust_lookup[],4,0)</f>
        <v>Specialist</v>
      </c>
    </row>
    <row r="109" spans="2:31" x14ac:dyDescent="0.35">
      <c r="B109" s="2" t="s">
        <v>295</v>
      </c>
      <c r="C109" s="2" t="s">
        <v>296</v>
      </c>
      <c r="D109" s="2" t="s">
        <v>278</v>
      </c>
      <c r="E109" s="2" t="s">
        <v>24</v>
      </c>
      <c r="F109" s="23">
        <v>3093</v>
      </c>
      <c r="G109" s="23">
        <v>1286</v>
      </c>
      <c r="H109" s="24">
        <v>0.41577756223730999</v>
      </c>
      <c r="I109" s="24">
        <v>0.248113208</v>
      </c>
      <c r="J109" s="58">
        <v>553</v>
      </c>
      <c r="K109" s="58">
        <v>218</v>
      </c>
      <c r="L109" s="24">
        <v>0.39421338155515301</v>
      </c>
      <c r="N109" s="2" t="s">
        <v>95</v>
      </c>
      <c r="O109" s="2" t="s">
        <v>96</v>
      </c>
      <c r="P109" s="2" t="s">
        <v>190</v>
      </c>
      <c r="Q109" s="2" t="s">
        <v>67</v>
      </c>
      <c r="R109" s="23">
        <v>208</v>
      </c>
      <c r="S109" s="23">
        <v>95</v>
      </c>
      <c r="T109" s="2">
        <v>0.456730769230769</v>
      </c>
      <c r="U109" s="14" t="str">
        <f>VLOOKUP(flu_staff[[#This Row],[trust_code]],trust_lookup[],3,0)</f>
        <v>Homerton</v>
      </c>
      <c r="W109" s="2" t="s">
        <v>161</v>
      </c>
      <c r="X109" s="2" t="s">
        <v>162</v>
      </c>
      <c r="Y109" s="2" t="s">
        <v>27</v>
      </c>
      <c r="Z109" s="2" t="s">
        <v>112</v>
      </c>
      <c r="AA109" s="23">
        <v>66</v>
      </c>
      <c r="AB109" s="23">
        <v>22</v>
      </c>
      <c r="AC109" s="24">
        <v>0.33333333333333298</v>
      </c>
      <c r="AD109" s="14" t="str">
        <f>VLOOKUP(flu_eth_ep[[#This Row],[trust_code]],trust_lookup[],3,0)</f>
        <v>RNOH</v>
      </c>
      <c r="AE109" s="14" t="str">
        <f>VLOOKUP(flu_eth_ep[[#This Row],[trust_code]],trust_lookup[],4,0)</f>
        <v>Specialist</v>
      </c>
    </row>
    <row r="110" spans="2:31" x14ac:dyDescent="0.35">
      <c r="B110" s="2" t="s">
        <v>297</v>
      </c>
      <c r="C110" s="2" t="s">
        <v>298</v>
      </c>
      <c r="D110" s="2" t="s">
        <v>278</v>
      </c>
      <c r="E110" s="2" t="s">
        <v>24</v>
      </c>
      <c r="F110" s="23">
        <v>4955</v>
      </c>
      <c r="G110" s="23">
        <v>2724</v>
      </c>
      <c r="H110" s="24">
        <v>0.54974772956609397</v>
      </c>
      <c r="I110" s="24">
        <v>0.53071590599999996</v>
      </c>
      <c r="J110" s="58">
        <v>1400</v>
      </c>
      <c r="K110" s="58">
        <v>805</v>
      </c>
      <c r="L110" s="24">
        <v>0.57499999999999996</v>
      </c>
      <c r="N110" s="2" t="s">
        <v>95</v>
      </c>
      <c r="O110" s="2" t="s">
        <v>96</v>
      </c>
      <c r="P110" s="2" t="s">
        <v>190</v>
      </c>
      <c r="Q110" s="2" t="s">
        <v>53</v>
      </c>
      <c r="R110" s="23">
        <v>1355</v>
      </c>
      <c r="S110" s="23">
        <v>583</v>
      </c>
      <c r="T110" s="2">
        <v>0.430258302583025</v>
      </c>
      <c r="U110" s="14" t="str">
        <f>VLOOKUP(flu_staff[[#This Row],[trust_code]],trust_lookup[],3,0)</f>
        <v>Homerton</v>
      </c>
      <c r="W110" s="2" t="s">
        <v>161</v>
      </c>
      <c r="X110" s="2" t="s">
        <v>162</v>
      </c>
      <c r="Y110" s="2" t="s">
        <v>27</v>
      </c>
      <c r="Z110" s="2" t="s">
        <v>47</v>
      </c>
      <c r="AA110" s="23">
        <v>10</v>
      </c>
      <c r="AB110" s="23">
        <v>5</v>
      </c>
      <c r="AC110" s="24">
        <v>0.5</v>
      </c>
      <c r="AD110" s="14" t="str">
        <f>VLOOKUP(flu_eth_ep[[#This Row],[trust_code]],trust_lookup[],3,0)</f>
        <v>RNOH</v>
      </c>
      <c r="AE110" s="14" t="str">
        <f>VLOOKUP(flu_eth_ep[[#This Row],[trust_code]],trust_lookup[],4,0)</f>
        <v>Specialist</v>
      </c>
    </row>
    <row r="111" spans="2:31" x14ac:dyDescent="0.35">
      <c r="B111" s="2" t="s">
        <v>299</v>
      </c>
      <c r="C111" s="2" t="s">
        <v>300</v>
      </c>
      <c r="D111" s="2" t="s">
        <v>278</v>
      </c>
      <c r="E111" s="2" t="s">
        <v>24</v>
      </c>
      <c r="F111" s="23">
        <v>7097</v>
      </c>
      <c r="G111" s="23">
        <v>4388</v>
      </c>
      <c r="H111" s="24">
        <v>0.61828941806396998</v>
      </c>
      <c r="I111" s="24">
        <v>0.62434849299999995</v>
      </c>
      <c r="J111" s="58">
        <v>3360</v>
      </c>
      <c r="K111" s="58">
        <v>1769</v>
      </c>
      <c r="L111" s="24">
        <v>0.52648809523809503</v>
      </c>
      <c r="N111" s="2" t="s">
        <v>95</v>
      </c>
      <c r="O111" s="2" t="s">
        <v>96</v>
      </c>
      <c r="P111" s="2" t="s">
        <v>190</v>
      </c>
      <c r="Q111" s="2" t="s">
        <v>28</v>
      </c>
      <c r="R111" s="23">
        <v>28</v>
      </c>
      <c r="S111" s="23">
        <v>15</v>
      </c>
      <c r="T111" s="2">
        <v>0.53571428571428503</v>
      </c>
      <c r="U111" s="14" t="str">
        <f>VLOOKUP(flu_staff[[#This Row],[trust_code]],trust_lookup[],3,0)</f>
        <v>Homerton</v>
      </c>
      <c r="W111" s="2" t="s">
        <v>161</v>
      </c>
      <c r="X111" s="2" t="s">
        <v>162</v>
      </c>
      <c r="Y111" s="2" t="s">
        <v>27</v>
      </c>
      <c r="Z111" s="2" t="s">
        <v>88</v>
      </c>
      <c r="AA111" s="23">
        <v>4</v>
      </c>
      <c r="AB111" s="23">
        <v>2</v>
      </c>
      <c r="AC111" s="24">
        <v>0.5</v>
      </c>
      <c r="AD111" s="14" t="str">
        <f>VLOOKUP(flu_eth_ep[[#This Row],[trust_code]],trust_lookup[],3,0)</f>
        <v>RNOH</v>
      </c>
      <c r="AE111" s="14" t="str">
        <f>VLOOKUP(flu_eth_ep[[#This Row],[trust_code]],trust_lookup[],4,0)</f>
        <v>Specialist</v>
      </c>
    </row>
    <row r="112" spans="2:31" x14ac:dyDescent="0.35">
      <c r="B112" s="2" t="s">
        <v>301</v>
      </c>
      <c r="C112" s="2" t="s">
        <v>302</v>
      </c>
      <c r="D112" s="2" t="s">
        <v>278</v>
      </c>
      <c r="E112" s="2" t="s">
        <v>24</v>
      </c>
      <c r="F112" s="23">
        <v>7905</v>
      </c>
      <c r="G112" s="23">
        <v>3964</v>
      </c>
      <c r="H112" s="24">
        <v>0.50145477545856998</v>
      </c>
      <c r="I112" s="24">
        <v>0.493049195</v>
      </c>
      <c r="J112" s="58">
        <v>1601</v>
      </c>
      <c r="K112" s="58">
        <v>767</v>
      </c>
      <c r="L112" s="24">
        <v>0.47907557776389698</v>
      </c>
      <c r="N112" s="2" t="s">
        <v>95</v>
      </c>
      <c r="O112" s="2" t="s">
        <v>96</v>
      </c>
      <c r="P112" s="2" t="s">
        <v>190</v>
      </c>
      <c r="Q112" s="2" t="s">
        <v>60</v>
      </c>
      <c r="R112" s="23">
        <v>440</v>
      </c>
      <c r="S112" s="23">
        <v>249</v>
      </c>
      <c r="T112" s="2">
        <v>0.56590909090909003</v>
      </c>
      <c r="U112" s="14" t="str">
        <f>VLOOKUP(flu_staff[[#This Row],[trust_code]],trust_lookup[],3,0)</f>
        <v>Homerton</v>
      </c>
      <c r="W112" s="2" t="s">
        <v>161</v>
      </c>
      <c r="X112" s="2" t="s">
        <v>162</v>
      </c>
      <c r="Y112" s="2" t="s">
        <v>27</v>
      </c>
      <c r="Z112" s="2" t="s">
        <v>36</v>
      </c>
      <c r="AA112" s="23">
        <v>1</v>
      </c>
      <c r="AB112" s="23">
        <v>0</v>
      </c>
      <c r="AC112" s="24">
        <v>0</v>
      </c>
      <c r="AD112" s="14" t="str">
        <f>VLOOKUP(flu_eth_ep[[#This Row],[trust_code]],trust_lookup[],3,0)</f>
        <v>RNOH</v>
      </c>
      <c r="AE112" s="14" t="str">
        <f>VLOOKUP(flu_eth_ep[[#This Row],[trust_code]],trust_lookup[],4,0)</f>
        <v>Specialist</v>
      </c>
    </row>
    <row r="113" spans="2:31" x14ac:dyDescent="0.35">
      <c r="B113" s="2" t="s">
        <v>303</v>
      </c>
      <c r="C113" s="2" t="s">
        <v>304</v>
      </c>
      <c r="D113" s="2" t="s">
        <v>278</v>
      </c>
      <c r="E113" s="2" t="s">
        <v>24</v>
      </c>
      <c r="F113" s="23">
        <v>6932</v>
      </c>
      <c r="G113" s="23">
        <v>3674</v>
      </c>
      <c r="H113" s="24">
        <v>0.53000577034045004</v>
      </c>
      <c r="I113" s="24">
        <v>0.52319544100000004</v>
      </c>
      <c r="J113" s="58">
        <v>2188</v>
      </c>
      <c r="K113" s="58">
        <v>756</v>
      </c>
      <c r="L113" s="24">
        <v>0.34552102376599603</v>
      </c>
      <c r="N113" s="2" t="s">
        <v>95</v>
      </c>
      <c r="O113" s="2" t="s">
        <v>96</v>
      </c>
      <c r="P113" s="2" t="s">
        <v>190</v>
      </c>
      <c r="Q113" s="2" t="s">
        <v>42</v>
      </c>
      <c r="R113" s="23">
        <v>909</v>
      </c>
      <c r="S113" s="23">
        <v>537</v>
      </c>
      <c r="T113" s="2">
        <v>0.59075907590759003</v>
      </c>
      <c r="U113" s="14" t="str">
        <f>VLOOKUP(flu_staff[[#This Row],[trust_code]],trust_lookup[],3,0)</f>
        <v>Homerton</v>
      </c>
      <c r="W113" s="2" t="s">
        <v>173</v>
      </c>
      <c r="X113" s="2" t="s">
        <v>174</v>
      </c>
      <c r="Y113" s="2" t="s">
        <v>27</v>
      </c>
      <c r="Z113" s="2" t="s">
        <v>47</v>
      </c>
      <c r="AA113" s="23">
        <v>2</v>
      </c>
      <c r="AB113" s="23">
        <v>0</v>
      </c>
      <c r="AC113" s="24">
        <v>0</v>
      </c>
      <c r="AD113" s="14" t="str">
        <f>VLOOKUP(flu_eth_ep[[#This Row],[trust_code]],trust_lookup[],3,0)</f>
        <v>T&amp;P</v>
      </c>
      <c r="AE113" s="14" t="str">
        <f>VLOOKUP(flu_eth_ep[[#This Row],[trust_code]],trust_lookup[],4,0)</f>
        <v>Mental Health</v>
      </c>
    </row>
    <row r="114" spans="2:31" x14ac:dyDescent="0.35">
      <c r="B114" s="2" t="s">
        <v>305</v>
      </c>
      <c r="C114" s="2" t="s">
        <v>306</v>
      </c>
      <c r="D114" s="2" t="s">
        <v>278</v>
      </c>
      <c r="E114" s="2" t="s">
        <v>24</v>
      </c>
      <c r="F114" s="23">
        <v>6100</v>
      </c>
      <c r="G114" s="23">
        <v>2817</v>
      </c>
      <c r="H114" s="24">
        <v>0.461803278688524</v>
      </c>
      <c r="I114" s="24">
        <v>0.45284929600000001</v>
      </c>
      <c r="J114" s="58">
        <v>1541</v>
      </c>
      <c r="K114" s="58">
        <v>839</v>
      </c>
      <c r="L114" s="24">
        <v>0.54445165476962998</v>
      </c>
      <c r="N114" s="2" t="s">
        <v>95</v>
      </c>
      <c r="O114" s="2" t="s">
        <v>96</v>
      </c>
      <c r="P114" s="2" t="s">
        <v>190</v>
      </c>
      <c r="Q114" s="2" t="s">
        <v>46</v>
      </c>
      <c r="R114" s="23">
        <v>66</v>
      </c>
      <c r="S114" s="23">
        <v>15</v>
      </c>
      <c r="T114" s="2">
        <v>0.22727272727272699</v>
      </c>
      <c r="U114" s="14" t="str">
        <f>VLOOKUP(flu_staff[[#This Row],[trust_code]],trust_lookup[],3,0)</f>
        <v>Homerton</v>
      </c>
      <c r="W114" s="2" t="s">
        <v>173</v>
      </c>
      <c r="X114" s="2" t="s">
        <v>174</v>
      </c>
      <c r="Y114" s="2" t="s">
        <v>27</v>
      </c>
      <c r="Z114" s="2" t="s">
        <v>29</v>
      </c>
      <c r="AA114" s="23">
        <v>17</v>
      </c>
      <c r="AB114" s="23">
        <v>5</v>
      </c>
      <c r="AC114" s="24">
        <v>0.29411764705882298</v>
      </c>
      <c r="AD114" s="14" t="str">
        <f>VLOOKUP(flu_eth_ep[[#This Row],[trust_code]],trust_lookup[],3,0)</f>
        <v>T&amp;P</v>
      </c>
      <c r="AE114" s="14" t="str">
        <f>VLOOKUP(flu_eth_ep[[#This Row],[trust_code]],trust_lookup[],4,0)</f>
        <v>Mental Health</v>
      </c>
    </row>
    <row r="115" spans="2:31" x14ac:dyDescent="0.35">
      <c r="B115" s="2" t="s">
        <v>307</v>
      </c>
      <c r="C115" s="2" t="s">
        <v>308</v>
      </c>
      <c r="D115" s="2" t="s">
        <v>278</v>
      </c>
      <c r="E115" s="2" t="s">
        <v>24</v>
      </c>
      <c r="F115" s="23">
        <v>13994</v>
      </c>
      <c r="G115" s="23">
        <v>8357</v>
      </c>
      <c r="H115" s="24">
        <v>0.59718450764613396</v>
      </c>
      <c r="I115" s="24">
        <v>0.55003743400000005</v>
      </c>
      <c r="J115" s="58">
        <v>2853</v>
      </c>
      <c r="K115" s="58">
        <v>1697</v>
      </c>
      <c r="L115" s="24">
        <v>0.59481247809323501</v>
      </c>
      <c r="N115" s="2" t="s">
        <v>95</v>
      </c>
      <c r="O115" s="2" t="s">
        <v>96</v>
      </c>
      <c r="P115" s="2" t="s">
        <v>190</v>
      </c>
      <c r="Q115" s="2" t="s">
        <v>81</v>
      </c>
      <c r="R115" s="23">
        <v>613</v>
      </c>
      <c r="S115" s="23">
        <v>185</v>
      </c>
      <c r="T115" s="2">
        <v>0.30179445350734002</v>
      </c>
      <c r="U115" s="14" t="str">
        <f>VLOOKUP(flu_staff[[#This Row],[trust_code]],trust_lookup[],3,0)</f>
        <v>Homerton</v>
      </c>
      <c r="W115" s="2" t="s">
        <v>173</v>
      </c>
      <c r="X115" s="2" t="s">
        <v>174</v>
      </c>
      <c r="Y115" s="2" t="s">
        <v>27</v>
      </c>
      <c r="Z115" s="2" t="s">
        <v>123</v>
      </c>
      <c r="AA115" s="23">
        <v>25</v>
      </c>
      <c r="AB115" s="23">
        <v>10</v>
      </c>
      <c r="AC115" s="24">
        <v>0.4</v>
      </c>
      <c r="AD115" s="14" t="str">
        <f>VLOOKUP(flu_eth_ep[[#This Row],[trust_code]],trust_lookup[],3,0)</f>
        <v>T&amp;P</v>
      </c>
      <c r="AE115" s="14" t="str">
        <f>VLOOKUP(flu_eth_ep[[#This Row],[trust_code]],trust_lookup[],4,0)</f>
        <v>Mental Health</v>
      </c>
    </row>
    <row r="116" spans="2:31" x14ac:dyDescent="0.35">
      <c r="B116" s="2" t="s">
        <v>309</v>
      </c>
      <c r="C116" s="2" t="s">
        <v>310</v>
      </c>
      <c r="D116" s="2" t="s">
        <v>278</v>
      </c>
      <c r="E116" s="2" t="s">
        <v>24</v>
      </c>
      <c r="F116" s="23">
        <v>3585</v>
      </c>
      <c r="G116" s="23">
        <v>1950</v>
      </c>
      <c r="H116" s="24">
        <v>0.54393305439330497</v>
      </c>
      <c r="I116" s="24">
        <v>0.52188695900000004</v>
      </c>
      <c r="J116" s="58">
        <v>585</v>
      </c>
      <c r="K116" s="58">
        <v>306</v>
      </c>
      <c r="L116" s="24">
        <v>0.52307692307692299</v>
      </c>
      <c r="N116" s="2" t="s">
        <v>95</v>
      </c>
      <c r="O116" s="2" t="s">
        <v>96</v>
      </c>
      <c r="P116" s="2" t="s">
        <v>190</v>
      </c>
      <c r="Q116" s="2" t="s">
        <v>35</v>
      </c>
      <c r="R116" s="23">
        <v>19</v>
      </c>
      <c r="S116" s="23">
        <v>5</v>
      </c>
      <c r="T116" s="2">
        <v>0.26315789473684198</v>
      </c>
      <c r="U116" s="14" t="str">
        <f>VLOOKUP(flu_staff[[#This Row],[trust_code]],trust_lookup[],3,0)</f>
        <v>Homerton</v>
      </c>
      <c r="W116" s="2" t="s">
        <v>173</v>
      </c>
      <c r="X116" s="2" t="s">
        <v>174</v>
      </c>
      <c r="Y116" s="2" t="s">
        <v>27</v>
      </c>
      <c r="Z116" s="2" t="s">
        <v>129</v>
      </c>
      <c r="AA116" s="23">
        <v>5</v>
      </c>
      <c r="AB116" s="23">
        <v>0</v>
      </c>
      <c r="AC116" s="24">
        <v>0</v>
      </c>
      <c r="AD116" s="14" t="str">
        <f>VLOOKUP(flu_eth_ep[[#This Row],[trust_code]],trust_lookup[],3,0)</f>
        <v>T&amp;P</v>
      </c>
      <c r="AE116" s="14" t="str">
        <f>VLOOKUP(flu_eth_ep[[#This Row],[trust_code]],trust_lookup[],4,0)</f>
        <v>Mental Health</v>
      </c>
    </row>
    <row r="117" spans="2:31" x14ac:dyDescent="0.35">
      <c r="B117" s="2" t="s">
        <v>311</v>
      </c>
      <c r="C117" s="2" t="s">
        <v>312</v>
      </c>
      <c r="D117" s="2" t="s">
        <v>278</v>
      </c>
      <c r="E117" s="2" t="s">
        <v>24</v>
      </c>
      <c r="F117" s="23">
        <v>5400</v>
      </c>
      <c r="G117" s="23">
        <v>2469</v>
      </c>
      <c r="H117" s="24">
        <v>0.45722222222222197</v>
      </c>
      <c r="I117" s="24">
        <v>0.45019267800000001</v>
      </c>
      <c r="J117" s="58">
        <v>1267</v>
      </c>
      <c r="K117" s="58">
        <v>698</v>
      </c>
      <c r="L117" s="24">
        <v>0.55090765588003099</v>
      </c>
      <c r="N117" s="2" t="s">
        <v>95</v>
      </c>
      <c r="O117" s="2" t="s">
        <v>96</v>
      </c>
      <c r="P117" s="2" t="s">
        <v>190</v>
      </c>
      <c r="Q117" s="2" t="s">
        <v>74</v>
      </c>
      <c r="R117" s="23">
        <v>29</v>
      </c>
      <c r="S117" s="23">
        <v>6</v>
      </c>
      <c r="T117" s="2">
        <v>0.20689655172413701</v>
      </c>
      <c r="U117" s="14" t="str">
        <f>VLOOKUP(flu_staff[[#This Row],[trust_code]],trust_lookup[],3,0)</f>
        <v>Homerton</v>
      </c>
      <c r="W117" s="2" t="s">
        <v>173</v>
      </c>
      <c r="X117" s="2" t="s">
        <v>174</v>
      </c>
      <c r="Y117" s="2" t="s">
        <v>27</v>
      </c>
      <c r="Z117" s="2" t="s">
        <v>61</v>
      </c>
      <c r="AA117" s="23">
        <v>22</v>
      </c>
      <c r="AB117" s="23">
        <v>3</v>
      </c>
      <c r="AC117" s="24">
        <v>0.13636363636363599</v>
      </c>
      <c r="AD117" s="14" t="str">
        <f>VLOOKUP(flu_eth_ep[[#This Row],[trust_code]],trust_lookup[],3,0)</f>
        <v>T&amp;P</v>
      </c>
      <c r="AE117" s="14" t="str">
        <f>VLOOKUP(flu_eth_ep[[#This Row],[trust_code]],trust_lookup[],4,0)</f>
        <v>Mental Health</v>
      </c>
    </row>
    <row r="118" spans="2:31" x14ac:dyDescent="0.35">
      <c r="B118" s="2" t="s">
        <v>313</v>
      </c>
      <c r="C118" s="2" t="s">
        <v>314</v>
      </c>
      <c r="D118" s="2" t="s">
        <v>278</v>
      </c>
      <c r="E118" s="2" t="s">
        <v>24</v>
      </c>
      <c r="F118" s="23">
        <v>2889</v>
      </c>
      <c r="G118" s="23">
        <v>1787</v>
      </c>
      <c r="H118" s="24">
        <v>0.61855313257182398</v>
      </c>
      <c r="I118" s="24">
        <v>0.680607815</v>
      </c>
      <c r="J118" s="58">
        <v>700</v>
      </c>
      <c r="K118" s="58">
        <v>465</v>
      </c>
      <c r="L118" s="24">
        <v>0.66428571428571404</v>
      </c>
      <c r="N118" s="2" t="s">
        <v>142</v>
      </c>
      <c r="O118" s="2" t="s">
        <v>143</v>
      </c>
      <c r="P118" s="2" t="s">
        <v>190</v>
      </c>
      <c r="Q118" s="2" t="s">
        <v>35</v>
      </c>
      <c r="R118" s="23">
        <v>13</v>
      </c>
      <c r="S118" s="23">
        <v>4</v>
      </c>
      <c r="T118" s="2">
        <v>0.30769230769230699</v>
      </c>
      <c r="U118" s="14" t="str">
        <f>VLOOKUP(flu_staff[[#This Row],[trust_code]],trust_lookup[],3,0)</f>
        <v>NELFT</v>
      </c>
      <c r="W118" s="2" t="s">
        <v>173</v>
      </c>
      <c r="X118" s="2" t="s">
        <v>174</v>
      </c>
      <c r="Y118" s="2" t="s">
        <v>27</v>
      </c>
      <c r="Z118" s="2" t="s">
        <v>100</v>
      </c>
      <c r="AA118" s="23">
        <v>21</v>
      </c>
      <c r="AB118" s="23">
        <v>3</v>
      </c>
      <c r="AC118" s="24">
        <v>0.14285714285714199</v>
      </c>
      <c r="AD118" s="14" t="str">
        <f>VLOOKUP(flu_eth_ep[[#This Row],[trust_code]],trust_lookup[],3,0)</f>
        <v>T&amp;P</v>
      </c>
      <c r="AE118" s="14" t="str">
        <f>VLOOKUP(flu_eth_ep[[#This Row],[trust_code]],trust_lookup[],4,0)</f>
        <v>Mental Health</v>
      </c>
    </row>
    <row r="119" spans="2:31" x14ac:dyDescent="0.35">
      <c r="B119" s="2" t="s">
        <v>315</v>
      </c>
      <c r="C119" s="2" t="s">
        <v>316</v>
      </c>
      <c r="D119" s="2" t="s">
        <v>278</v>
      </c>
      <c r="E119" s="2" t="s">
        <v>24</v>
      </c>
      <c r="F119" s="23">
        <v>2748</v>
      </c>
      <c r="G119" s="23">
        <v>1685</v>
      </c>
      <c r="H119" s="24">
        <v>0.61317321688500703</v>
      </c>
      <c r="I119" s="24">
        <v>0.613050977</v>
      </c>
      <c r="J119" s="58">
        <v>942</v>
      </c>
      <c r="K119" s="58">
        <v>506</v>
      </c>
      <c r="L119" s="24">
        <v>0.53715498938428796</v>
      </c>
      <c r="N119" s="2" t="s">
        <v>142</v>
      </c>
      <c r="O119" s="2" t="s">
        <v>143</v>
      </c>
      <c r="P119" s="2" t="s">
        <v>190</v>
      </c>
      <c r="Q119" s="2" t="s">
        <v>81</v>
      </c>
      <c r="R119" s="23">
        <v>1526</v>
      </c>
      <c r="S119" s="23">
        <v>441</v>
      </c>
      <c r="T119" s="2">
        <v>0.28899082568807299</v>
      </c>
      <c r="U119" s="14" t="str">
        <f>VLOOKUP(flu_staff[[#This Row],[trust_code]],trust_lookup[],3,0)</f>
        <v>NELFT</v>
      </c>
      <c r="W119" s="2" t="s">
        <v>173</v>
      </c>
      <c r="X119" s="2" t="s">
        <v>174</v>
      </c>
      <c r="Y119" s="2" t="s">
        <v>27</v>
      </c>
      <c r="Z119" s="2" t="s">
        <v>141</v>
      </c>
      <c r="AA119" s="23">
        <v>15</v>
      </c>
      <c r="AB119" s="23">
        <v>6</v>
      </c>
      <c r="AC119" s="24">
        <v>0.4</v>
      </c>
      <c r="AD119" s="14" t="str">
        <f>VLOOKUP(flu_eth_ep[[#This Row],[trust_code]],trust_lookup[],3,0)</f>
        <v>T&amp;P</v>
      </c>
      <c r="AE119" s="14" t="str">
        <f>VLOOKUP(flu_eth_ep[[#This Row],[trust_code]],trust_lookup[],4,0)</f>
        <v>Mental Health</v>
      </c>
    </row>
    <row r="120" spans="2:31" x14ac:dyDescent="0.35">
      <c r="B120" s="2" t="s">
        <v>317</v>
      </c>
      <c r="C120" s="2" t="s">
        <v>318</v>
      </c>
      <c r="D120" s="2" t="s">
        <v>278</v>
      </c>
      <c r="E120" s="2" t="s">
        <v>24</v>
      </c>
      <c r="F120" s="23">
        <v>1967</v>
      </c>
      <c r="G120" s="23">
        <v>1047</v>
      </c>
      <c r="H120" s="24">
        <v>0.53228266395526103</v>
      </c>
      <c r="I120" s="24">
        <v>0.536883526</v>
      </c>
      <c r="J120" s="58">
        <v>550</v>
      </c>
      <c r="K120" s="58">
        <v>330</v>
      </c>
      <c r="L120" s="24">
        <v>0.6</v>
      </c>
      <c r="N120" s="2" t="s">
        <v>142</v>
      </c>
      <c r="O120" s="2" t="s">
        <v>143</v>
      </c>
      <c r="P120" s="2" t="s">
        <v>190</v>
      </c>
      <c r="Q120" s="2" t="s">
        <v>28</v>
      </c>
      <c r="R120" s="23">
        <v>16</v>
      </c>
      <c r="S120" s="23">
        <v>3</v>
      </c>
      <c r="T120" s="2">
        <v>0.1875</v>
      </c>
      <c r="U120" s="14" t="str">
        <f>VLOOKUP(flu_staff[[#This Row],[trust_code]],trust_lookup[],3,0)</f>
        <v>NELFT</v>
      </c>
      <c r="W120" s="2" t="s">
        <v>173</v>
      </c>
      <c r="X120" s="2" t="s">
        <v>174</v>
      </c>
      <c r="Y120" s="2" t="s">
        <v>27</v>
      </c>
      <c r="Z120" s="2" t="s">
        <v>68</v>
      </c>
      <c r="AA120" s="23">
        <v>290</v>
      </c>
      <c r="AB120" s="23">
        <v>162</v>
      </c>
      <c r="AC120" s="24">
        <v>0.55862068965517198</v>
      </c>
      <c r="AD120" s="14" t="str">
        <f>VLOOKUP(flu_eth_ep[[#This Row],[trust_code]],trust_lookup[],3,0)</f>
        <v>T&amp;P</v>
      </c>
      <c r="AE120" s="14" t="str">
        <f>VLOOKUP(flu_eth_ep[[#This Row],[trust_code]],trust_lookup[],4,0)</f>
        <v>Mental Health</v>
      </c>
    </row>
    <row r="121" spans="2:31" x14ac:dyDescent="0.35">
      <c r="B121" s="2" t="s">
        <v>319</v>
      </c>
      <c r="C121" s="2" t="s">
        <v>320</v>
      </c>
      <c r="D121" s="2" t="s">
        <v>278</v>
      </c>
      <c r="E121" s="2" t="s">
        <v>24</v>
      </c>
      <c r="F121" s="23">
        <v>13563</v>
      </c>
      <c r="G121" s="23">
        <v>6688</v>
      </c>
      <c r="H121" s="24">
        <v>0.49310624493106198</v>
      </c>
      <c r="I121" s="24">
        <v>0.46503392500000001</v>
      </c>
      <c r="J121" s="58">
        <v>3543</v>
      </c>
      <c r="K121" s="58">
        <v>1838</v>
      </c>
      <c r="L121" s="24">
        <v>0.51876940445949704</v>
      </c>
      <c r="N121" s="2" t="s">
        <v>142</v>
      </c>
      <c r="O121" s="2" t="s">
        <v>143</v>
      </c>
      <c r="P121" s="2" t="s">
        <v>190</v>
      </c>
      <c r="Q121" s="2" t="s">
        <v>60</v>
      </c>
      <c r="R121" s="23">
        <v>713</v>
      </c>
      <c r="S121" s="23">
        <v>265</v>
      </c>
      <c r="T121" s="2">
        <v>0.37166900420757298</v>
      </c>
      <c r="U121" s="14" t="str">
        <f>VLOOKUP(flu_staff[[#This Row],[trust_code]],trust_lookup[],3,0)</f>
        <v>NELFT</v>
      </c>
      <c r="W121" s="2" t="s">
        <v>173</v>
      </c>
      <c r="X121" s="2" t="s">
        <v>174</v>
      </c>
      <c r="Y121" s="2" t="s">
        <v>27</v>
      </c>
      <c r="Z121" s="2" t="s">
        <v>82</v>
      </c>
      <c r="AA121" s="23">
        <v>4</v>
      </c>
      <c r="AB121" s="23">
        <v>0</v>
      </c>
      <c r="AC121" s="24">
        <v>0</v>
      </c>
      <c r="AD121" s="14" t="str">
        <f>VLOOKUP(flu_eth_ep[[#This Row],[trust_code]],trust_lookup[],3,0)</f>
        <v>T&amp;P</v>
      </c>
      <c r="AE121" s="14" t="str">
        <f>VLOOKUP(flu_eth_ep[[#This Row],[trust_code]],trust_lookup[],4,0)</f>
        <v>Mental Health</v>
      </c>
    </row>
    <row r="122" spans="2:31" x14ac:dyDescent="0.35">
      <c r="B122" s="2" t="s">
        <v>321</v>
      </c>
      <c r="C122" s="2" t="s">
        <v>322</v>
      </c>
      <c r="D122" s="2" t="s">
        <v>278</v>
      </c>
      <c r="E122" s="2" t="s">
        <v>24</v>
      </c>
      <c r="F122" s="23">
        <v>3650</v>
      </c>
      <c r="G122" s="23">
        <v>2108</v>
      </c>
      <c r="H122" s="24">
        <v>0.57753424657534203</v>
      </c>
      <c r="I122" s="24">
        <v>0.58018597999999999</v>
      </c>
      <c r="J122" s="58">
        <v>874</v>
      </c>
      <c r="K122" s="58">
        <v>525</v>
      </c>
      <c r="L122" s="24">
        <v>0.60068649885583503</v>
      </c>
      <c r="N122" s="2" t="s">
        <v>142</v>
      </c>
      <c r="O122" s="2" t="s">
        <v>143</v>
      </c>
      <c r="P122" s="2" t="s">
        <v>190</v>
      </c>
      <c r="Q122" s="2" t="s">
        <v>46</v>
      </c>
      <c r="R122" s="23">
        <v>195</v>
      </c>
      <c r="S122" s="23">
        <v>65</v>
      </c>
      <c r="T122" s="2">
        <v>0.33333333333333298</v>
      </c>
      <c r="U122" s="14" t="str">
        <f>VLOOKUP(flu_staff[[#This Row],[trust_code]],trust_lookup[],3,0)</f>
        <v>NELFT</v>
      </c>
      <c r="W122" s="2" t="s">
        <v>173</v>
      </c>
      <c r="X122" s="2" t="s">
        <v>174</v>
      </c>
      <c r="Y122" s="2" t="s">
        <v>27</v>
      </c>
      <c r="Z122" s="2" t="s">
        <v>112</v>
      </c>
      <c r="AA122" s="23">
        <v>27</v>
      </c>
      <c r="AB122" s="23">
        <v>6</v>
      </c>
      <c r="AC122" s="24">
        <v>0.22222222222222199</v>
      </c>
      <c r="AD122" s="14" t="str">
        <f>VLOOKUP(flu_eth_ep[[#This Row],[trust_code]],trust_lookup[],3,0)</f>
        <v>T&amp;P</v>
      </c>
      <c r="AE122" s="14" t="str">
        <f>VLOOKUP(flu_eth_ep[[#This Row],[trust_code]],trust_lookup[],4,0)</f>
        <v>Mental Health</v>
      </c>
    </row>
    <row r="123" spans="2:31" x14ac:dyDescent="0.35">
      <c r="B123" s="2" t="s">
        <v>323</v>
      </c>
      <c r="C123" s="2" t="s">
        <v>324</v>
      </c>
      <c r="D123" s="2" t="s">
        <v>278</v>
      </c>
      <c r="E123" s="2" t="s">
        <v>24</v>
      </c>
      <c r="F123" s="23">
        <v>3131</v>
      </c>
      <c r="G123" s="23">
        <v>1483</v>
      </c>
      <c r="H123" s="24">
        <v>0.47365059086553801</v>
      </c>
      <c r="I123" s="24">
        <v>0.43271604899999999</v>
      </c>
      <c r="J123" s="58">
        <v>869</v>
      </c>
      <c r="K123" s="58">
        <v>438</v>
      </c>
      <c r="L123" s="24">
        <v>0.50402761795166795</v>
      </c>
      <c r="N123" s="2" t="s">
        <v>142</v>
      </c>
      <c r="O123" s="2" t="s">
        <v>143</v>
      </c>
      <c r="P123" s="2" t="s">
        <v>190</v>
      </c>
      <c r="Q123" s="2" t="s">
        <v>67</v>
      </c>
      <c r="R123" s="23">
        <v>922</v>
      </c>
      <c r="S123" s="23">
        <v>316</v>
      </c>
      <c r="T123" s="2">
        <v>0.342733188720173</v>
      </c>
      <c r="U123" s="14" t="str">
        <f>VLOOKUP(flu_staff[[#This Row],[trust_code]],trust_lookup[],3,0)</f>
        <v>NELFT</v>
      </c>
      <c r="W123" s="2" t="s">
        <v>173</v>
      </c>
      <c r="X123" s="2" t="s">
        <v>174</v>
      </c>
      <c r="Y123" s="2" t="s">
        <v>27</v>
      </c>
      <c r="Z123" s="2" t="s">
        <v>94</v>
      </c>
      <c r="AA123" s="23">
        <v>2</v>
      </c>
      <c r="AB123" s="23">
        <v>2</v>
      </c>
      <c r="AC123" s="24">
        <v>1</v>
      </c>
      <c r="AD123" s="14" t="str">
        <f>VLOOKUP(flu_eth_ep[[#This Row],[trust_code]],trust_lookup[],3,0)</f>
        <v>T&amp;P</v>
      </c>
      <c r="AE123" s="14" t="str">
        <f>VLOOKUP(flu_eth_ep[[#This Row],[trust_code]],trust_lookup[],4,0)</f>
        <v>Mental Health</v>
      </c>
    </row>
    <row r="124" spans="2:31" x14ac:dyDescent="0.35">
      <c r="B124" s="2" t="s">
        <v>325</v>
      </c>
      <c r="C124" s="2" t="s">
        <v>326</v>
      </c>
      <c r="D124" s="2" t="s">
        <v>278</v>
      </c>
      <c r="E124" s="2" t="s">
        <v>24</v>
      </c>
      <c r="F124" s="23">
        <v>2627</v>
      </c>
      <c r="G124" s="23">
        <v>1215</v>
      </c>
      <c r="H124" s="24">
        <v>0.46250475827940601</v>
      </c>
      <c r="I124" s="24">
        <v>0.45806045299999998</v>
      </c>
      <c r="J124" s="58">
        <v>783</v>
      </c>
      <c r="K124" s="58">
        <v>365</v>
      </c>
      <c r="L124" s="24">
        <v>0.46615581098339698</v>
      </c>
      <c r="N124" s="2" t="s">
        <v>142</v>
      </c>
      <c r="O124" s="2" t="s">
        <v>143</v>
      </c>
      <c r="P124" s="2" t="s">
        <v>190</v>
      </c>
      <c r="Q124" s="2" t="s">
        <v>74</v>
      </c>
      <c r="R124" s="23">
        <v>3</v>
      </c>
      <c r="S124" s="23">
        <v>1</v>
      </c>
      <c r="T124" s="2">
        <v>0.33333333333333298</v>
      </c>
      <c r="U124" s="14" t="str">
        <f>VLOOKUP(flu_staff[[#This Row],[trust_code]],trust_lookup[],3,0)</f>
        <v>NELFT</v>
      </c>
      <c r="W124" s="2" t="s">
        <v>173</v>
      </c>
      <c r="X124" s="2" t="s">
        <v>174</v>
      </c>
      <c r="Y124" s="2" t="s">
        <v>27</v>
      </c>
      <c r="Z124" s="2" t="s">
        <v>36</v>
      </c>
      <c r="AA124" s="23">
        <v>32</v>
      </c>
      <c r="AB124" s="23">
        <v>16</v>
      </c>
      <c r="AC124" s="24">
        <v>0.5</v>
      </c>
      <c r="AD124" s="14" t="str">
        <f>VLOOKUP(flu_eth_ep[[#This Row],[trust_code]],trust_lookup[],3,0)</f>
        <v>T&amp;P</v>
      </c>
      <c r="AE124" s="14" t="str">
        <f>VLOOKUP(flu_eth_ep[[#This Row],[trust_code]],trust_lookup[],4,0)</f>
        <v>Mental Health</v>
      </c>
    </row>
    <row r="125" spans="2:31" x14ac:dyDescent="0.35">
      <c r="B125" s="2" t="s">
        <v>327</v>
      </c>
      <c r="C125" s="2" t="s">
        <v>328</v>
      </c>
      <c r="D125" s="2" t="s">
        <v>278</v>
      </c>
      <c r="E125" s="2" t="s">
        <v>24</v>
      </c>
      <c r="F125" s="23">
        <v>6138</v>
      </c>
      <c r="G125" s="23">
        <v>2799</v>
      </c>
      <c r="H125" s="24">
        <v>0.45601173020527802</v>
      </c>
      <c r="I125" s="24">
        <v>0.43723544999999903</v>
      </c>
      <c r="J125" s="58">
        <v>1630</v>
      </c>
      <c r="K125" s="58">
        <v>685</v>
      </c>
      <c r="L125" s="24">
        <v>0.42024539877300598</v>
      </c>
      <c r="N125" s="2" t="s">
        <v>142</v>
      </c>
      <c r="O125" s="2" t="s">
        <v>143</v>
      </c>
      <c r="P125" s="2" t="s">
        <v>190</v>
      </c>
      <c r="Q125" s="2" t="s">
        <v>42</v>
      </c>
      <c r="R125" s="23">
        <v>441</v>
      </c>
      <c r="S125" s="23">
        <v>189</v>
      </c>
      <c r="T125" s="2">
        <v>0.42857142857142799</v>
      </c>
      <c r="U125" s="14" t="str">
        <f>VLOOKUP(flu_staff[[#This Row],[trust_code]],trust_lookup[],3,0)</f>
        <v>NELFT</v>
      </c>
      <c r="W125" s="2" t="s">
        <v>173</v>
      </c>
      <c r="X125" s="2" t="s">
        <v>174</v>
      </c>
      <c r="Y125" s="2" t="s">
        <v>27</v>
      </c>
      <c r="Z125" s="2" t="s">
        <v>135</v>
      </c>
      <c r="AA125" s="23">
        <v>12</v>
      </c>
      <c r="AB125" s="23">
        <v>5</v>
      </c>
      <c r="AC125" s="24">
        <v>0.41666666666666602</v>
      </c>
      <c r="AD125" s="14" t="str">
        <f>VLOOKUP(flu_eth_ep[[#This Row],[trust_code]],trust_lookup[],3,0)</f>
        <v>T&amp;P</v>
      </c>
      <c r="AE125" s="14" t="str">
        <f>VLOOKUP(flu_eth_ep[[#This Row],[trust_code]],trust_lookup[],4,0)</f>
        <v>Mental Health</v>
      </c>
    </row>
    <row r="126" spans="2:31" x14ac:dyDescent="0.35">
      <c r="B126" s="2" t="s">
        <v>329</v>
      </c>
      <c r="C126" s="2" t="s">
        <v>330</v>
      </c>
      <c r="D126" s="2" t="s">
        <v>278</v>
      </c>
      <c r="E126" s="2" t="s">
        <v>24</v>
      </c>
      <c r="F126" s="23">
        <v>5794</v>
      </c>
      <c r="G126" s="23">
        <v>2656</v>
      </c>
      <c r="H126" s="24">
        <v>0.45840524680704098</v>
      </c>
      <c r="I126" s="24">
        <v>0.33494911599999999</v>
      </c>
      <c r="J126" s="58">
        <v>1387</v>
      </c>
      <c r="K126" s="58">
        <v>676</v>
      </c>
      <c r="L126" s="24">
        <v>0.48738284066330201</v>
      </c>
      <c r="N126" s="2" t="s">
        <v>142</v>
      </c>
      <c r="O126" s="2" t="s">
        <v>143</v>
      </c>
      <c r="P126" s="2" t="s">
        <v>190</v>
      </c>
      <c r="Q126" s="2" t="s">
        <v>53</v>
      </c>
      <c r="R126" s="23">
        <v>2214</v>
      </c>
      <c r="S126" s="23">
        <v>697</v>
      </c>
      <c r="T126" s="2">
        <v>0.31481481481481399</v>
      </c>
      <c r="U126" s="14" t="str">
        <f>VLOOKUP(flu_staff[[#This Row],[trust_code]],trust_lookup[],3,0)</f>
        <v>NELFT</v>
      </c>
      <c r="W126" s="2" t="s">
        <v>173</v>
      </c>
      <c r="X126" s="2" t="s">
        <v>174</v>
      </c>
      <c r="Y126" s="2" t="s">
        <v>27</v>
      </c>
      <c r="Z126" s="2" t="s">
        <v>88</v>
      </c>
      <c r="AA126" s="23">
        <v>3</v>
      </c>
      <c r="AB126" s="23">
        <v>1</v>
      </c>
      <c r="AC126" s="24">
        <v>0.33333333333333298</v>
      </c>
      <c r="AD126" s="14" t="str">
        <f>VLOOKUP(flu_eth_ep[[#This Row],[trust_code]],trust_lookup[],3,0)</f>
        <v>T&amp;P</v>
      </c>
      <c r="AE126" s="14" t="str">
        <f>VLOOKUP(flu_eth_ep[[#This Row],[trust_code]],trust_lookup[],4,0)</f>
        <v>Mental Health</v>
      </c>
    </row>
    <row r="127" spans="2:31" x14ac:dyDescent="0.35">
      <c r="B127" s="2" t="s">
        <v>331</v>
      </c>
      <c r="C127" s="2" t="s">
        <v>332</v>
      </c>
      <c r="D127" s="2" t="s">
        <v>278</v>
      </c>
      <c r="E127" s="2" t="s">
        <v>24</v>
      </c>
      <c r="F127" s="23">
        <v>2475</v>
      </c>
      <c r="G127" s="23">
        <v>961</v>
      </c>
      <c r="H127" s="24">
        <v>0.38828282828282801</v>
      </c>
      <c r="I127" s="24">
        <v>0.39705640199999997</v>
      </c>
      <c r="J127" s="58">
        <v>774</v>
      </c>
      <c r="K127" s="58">
        <v>338</v>
      </c>
      <c r="L127" s="24">
        <v>0.436692506459948</v>
      </c>
      <c r="N127" s="2" t="s">
        <v>48</v>
      </c>
      <c r="O127" s="2" t="s">
        <v>49</v>
      </c>
      <c r="P127" s="2" t="s">
        <v>192</v>
      </c>
      <c r="Q127" s="2" t="s">
        <v>42</v>
      </c>
      <c r="R127" s="23">
        <v>137</v>
      </c>
      <c r="S127" s="23">
        <v>66</v>
      </c>
      <c r="T127" s="2">
        <v>0.48175182481751799</v>
      </c>
      <c r="U127" s="14" t="str">
        <f>VLOOKUP(flu_staff[[#This Row],[trust_code]],trust_lookup[],3,0)</f>
        <v>CLCH</v>
      </c>
      <c r="W127" s="2" t="s">
        <v>173</v>
      </c>
      <c r="X127" s="2" t="s">
        <v>174</v>
      </c>
      <c r="Y127" s="2" t="s">
        <v>27</v>
      </c>
      <c r="Z127" s="2" t="s">
        <v>36</v>
      </c>
      <c r="AA127" s="23">
        <v>1</v>
      </c>
      <c r="AB127" s="23">
        <v>0</v>
      </c>
      <c r="AC127" s="24">
        <v>0</v>
      </c>
      <c r="AD127" s="14" t="str">
        <f>VLOOKUP(flu_eth_ep[[#This Row],[trust_code]],trust_lookup[],3,0)</f>
        <v>T&amp;P</v>
      </c>
      <c r="AE127" s="14" t="str">
        <f>VLOOKUP(flu_eth_ep[[#This Row],[trust_code]],trust_lookup[],4,0)</f>
        <v>Mental Health</v>
      </c>
    </row>
    <row r="128" spans="2:31" x14ac:dyDescent="0.35">
      <c r="B128" s="2" t="s">
        <v>333</v>
      </c>
      <c r="C128" s="2" t="s">
        <v>334</v>
      </c>
      <c r="D128" s="2" t="s">
        <v>278</v>
      </c>
      <c r="E128" s="2" t="s">
        <v>24</v>
      </c>
      <c r="F128" s="23">
        <v>2248</v>
      </c>
      <c r="G128" s="23">
        <v>1177</v>
      </c>
      <c r="H128" s="24">
        <v>0.52357651245551595</v>
      </c>
      <c r="I128" s="24">
        <v>0.52890588800000005</v>
      </c>
      <c r="J128" s="58">
        <v>734</v>
      </c>
      <c r="K128" s="58">
        <v>370</v>
      </c>
      <c r="L128" s="24">
        <v>0.50408719346049002</v>
      </c>
      <c r="N128" s="2" t="s">
        <v>48</v>
      </c>
      <c r="O128" s="2" t="s">
        <v>49</v>
      </c>
      <c r="P128" s="2" t="s">
        <v>192</v>
      </c>
      <c r="Q128" s="2" t="s">
        <v>60</v>
      </c>
      <c r="R128" s="23">
        <v>814</v>
      </c>
      <c r="S128" s="23">
        <v>348</v>
      </c>
      <c r="T128" s="2">
        <v>0.427518427518427</v>
      </c>
      <c r="U128" s="14" t="str">
        <f>VLOOKUP(flu_staff[[#This Row],[trust_code]],trust_lookup[],3,0)</f>
        <v>CLCH</v>
      </c>
      <c r="W128" s="2" t="s">
        <v>173</v>
      </c>
      <c r="X128" s="2" t="s">
        <v>174</v>
      </c>
      <c r="Y128" s="2" t="s">
        <v>27</v>
      </c>
      <c r="Z128" s="2" t="s">
        <v>54</v>
      </c>
      <c r="AA128" s="23">
        <v>115</v>
      </c>
      <c r="AB128" s="23">
        <v>47</v>
      </c>
      <c r="AC128" s="24">
        <v>0.40869565217391302</v>
      </c>
      <c r="AD128" s="14" t="str">
        <f>VLOOKUP(flu_eth_ep[[#This Row],[trust_code]],trust_lookup[],3,0)</f>
        <v>T&amp;P</v>
      </c>
      <c r="AE128" s="14" t="str">
        <f>VLOOKUP(flu_eth_ep[[#This Row],[trust_code]],trust_lookup[],4,0)</f>
        <v>Mental Health</v>
      </c>
    </row>
    <row r="129" spans="2:31" x14ac:dyDescent="0.35">
      <c r="B129" s="2" t="s">
        <v>335</v>
      </c>
      <c r="C129" s="2" t="s">
        <v>336</v>
      </c>
      <c r="D129" s="2" t="s">
        <v>278</v>
      </c>
      <c r="E129" s="2" t="s">
        <v>24</v>
      </c>
      <c r="F129" s="23">
        <v>17026</v>
      </c>
      <c r="G129" s="23">
        <v>9189</v>
      </c>
      <c r="H129" s="24">
        <v>0.53970398214495396</v>
      </c>
      <c r="I129" s="24">
        <v>0.50474722599999999</v>
      </c>
      <c r="J129" s="58">
        <v>4660</v>
      </c>
      <c r="K129" s="58">
        <v>2235</v>
      </c>
      <c r="L129" s="24">
        <v>0.47961373390557899</v>
      </c>
      <c r="N129" s="2" t="s">
        <v>48</v>
      </c>
      <c r="O129" s="2" t="s">
        <v>49</v>
      </c>
      <c r="P129" s="2" t="s">
        <v>192</v>
      </c>
      <c r="Q129" s="2" t="s">
        <v>81</v>
      </c>
      <c r="R129" s="23">
        <v>876</v>
      </c>
      <c r="S129" s="23">
        <v>265</v>
      </c>
      <c r="T129" s="2">
        <v>0.30251141552511401</v>
      </c>
      <c r="U129" s="14" t="str">
        <f>VLOOKUP(flu_staff[[#This Row],[trust_code]],trust_lookup[],3,0)</f>
        <v>CLCH</v>
      </c>
      <c r="W129" s="2" t="s">
        <v>173</v>
      </c>
      <c r="X129" s="2" t="s">
        <v>174</v>
      </c>
      <c r="Y129" s="2" t="s">
        <v>27</v>
      </c>
      <c r="Z129" s="2" t="s">
        <v>75</v>
      </c>
      <c r="AA129" s="23">
        <v>7</v>
      </c>
      <c r="AB129" s="23">
        <v>1</v>
      </c>
      <c r="AC129" s="24">
        <v>0.14285714285714199</v>
      </c>
      <c r="AD129" s="14" t="str">
        <f>VLOOKUP(flu_eth_ep[[#This Row],[trust_code]],trust_lookup[],3,0)</f>
        <v>T&amp;P</v>
      </c>
      <c r="AE129" s="14" t="str">
        <f>VLOOKUP(flu_eth_ep[[#This Row],[trust_code]],trust_lookup[],4,0)</f>
        <v>Mental Health</v>
      </c>
    </row>
    <row r="130" spans="2:31" x14ac:dyDescent="0.35">
      <c r="B130" s="2" t="s">
        <v>337</v>
      </c>
      <c r="C130" s="2" t="s">
        <v>338</v>
      </c>
      <c r="D130" s="2" t="s">
        <v>278</v>
      </c>
      <c r="E130" s="2" t="s">
        <v>24</v>
      </c>
      <c r="F130" s="23">
        <v>6618</v>
      </c>
      <c r="G130" s="23">
        <v>3009</v>
      </c>
      <c r="H130" s="24">
        <v>0.45466908431550301</v>
      </c>
      <c r="I130" s="24">
        <v>0.44154968299999903</v>
      </c>
      <c r="J130" s="58">
        <v>2949</v>
      </c>
      <c r="K130" s="58">
        <v>1305</v>
      </c>
      <c r="L130" s="24">
        <v>0.44252288911495402</v>
      </c>
      <c r="N130" s="2" t="s">
        <v>48</v>
      </c>
      <c r="O130" s="2" t="s">
        <v>49</v>
      </c>
      <c r="P130" s="2" t="s">
        <v>192</v>
      </c>
      <c r="Q130" s="2" t="s">
        <v>53</v>
      </c>
      <c r="R130" s="23">
        <v>1836</v>
      </c>
      <c r="S130" s="23">
        <v>681</v>
      </c>
      <c r="T130" s="2">
        <v>0.37091503267973802</v>
      </c>
      <c r="U130" s="14" t="str">
        <f>VLOOKUP(flu_staff[[#This Row],[trust_code]],trust_lookup[],3,0)</f>
        <v>CLCH</v>
      </c>
      <c r="W130" s="2" t="s">
        <v>173</v>
      </c>
      <c r="X130" s="2" t="s">
        <v>174</v>
      </c>
      <c r="Y130" s="2" t="s">
        <v>27</v>
      </c>
      <c r="Z130" s="2" t="s">
        <v>106</v>
      </c>
      <c r="AA130" s="23">
        <v>4</v>
      </c>
      <c r="AB130" s="23">
        <v>2</v>
      </c>
      <c r="AC130" s="24">
        <v>0.5</v>
      </c>
      <c r="AD130" s="14" t="str">
        <f>VLOOKUP(flu_eth_ep[[#This Row],[trust_code]],trust_lookup[],3,0)</f>
        <v>T&amp;P</v>
      </c>
      <c r="AE130" s="14" t="str">
        <f>VLOOKUP(flu_eth_ep[[#This Row],[trust_code]],trust_lookup[],4,0)</f>
        <v>Mental Health</v>
      </c>
    </row>
    <row r="131" spans="2:31" x14ac:dyDescent="0.35">
      <c r="B131" s="2" t="s">
        <v>339</v>
      </c>
      <c r="C131" s="2" t="s">
        <v>340</v>
      </c>
      <c r="D131" s="2" t="s">
        <v>278</v>
      </c>
      <c r="E131" s="2" t="s">
        <v>24</v>
      </c>
      <c r="F131" s="23">
        <v>3963</v>
      </c>
      <c r="G131" s="23">
        <v>2028</v>
      </c>
      <c r="H131" s="24">
        <v>0.51173353520060505</v>
      </c>
      <c r="I131" s="24">
        <v>0.22034020100000001</v>
      </c>
      <c r="J131" s="58">
        <v>1695</v>
      </c>
      <c r="K131" s="58">
        <v>810</v>
      </c>
      <c r="L131" s="24">
        <v>0.47787610619469001</v>
      </c>
      <c r="N131" s="2" t="s">
        <v>48</v>
      </c>
      <c r="O131" s="2" t="s">
        <v>49</v>
      </c>
      <c r="P131" s="2" t="s">
        <v>192</v>
      </c>
      <c r="Q131" s="2" t="s">
        <v>46</v>
      </c>
      <c r="R131" s="23">
        <v>322</v>
      </c>
      <c r="S131" s="23">
        <v>132</v>
      </c>
      <c r="T131" s="2">
        <v>0.40993788819875698</v>
      </c>
      <c r="U131" s="14" t="str">
        <f>VLOOKUP(flu_staff[[#This Row],[trust_code]],trust_lookup[],3,0)</f>
        <v>CLCH</v>
      </c>
      <c r="W131" s="2" t="s">
        <v>182</v>
      </c>
      <c r="X131" s="2" t="s">
        <v>183</v>
      </c>
      <c r="Y131" s="2" t="s">
        <v>27</v>
      </c>
      <c r="Z131" s="2" t="s">
        <v>61</v>
      </c>
      <c r="AA131" s="23">
        <v>160</v>
      </c>
      <c r="AB131" s="23">
        <v>34</v>
      </c>
      <c r="AC131" s="24">
        <v>0.21249999999999999</v>
      </c>
      <c r="AD131" s="14" t="str">
        <f>VLOOKUP(flu_eth_ep[[#This Row],[trust_code]],trust_lookup[],3,0)</f>
        <v>UCLH</v>
      </c>
      <c r="AE131" s="14" t="str">
        <f>VLOOKUP(flu_eth_ep[[#This Row],[trust_code]],trust_lookup[],4,0)</f>
        <v>Acute</v>
      </c>
    </row>
    <row r="132" spans="2:31" x14ac:dyDescent="0.35">
      <c r="B132" s="2" t="s">
        <v>341</v>
      </c>
      <c r="C132" s="2" t="s">
        <v>342</v>
      </c>
      <c r="D132" s="2" t="s">
        <v>278</v>
      </c>
      <c r="E132" s="2" t="s">
        <v>24</v>
      </c>
      <c r="F132" s="23">
        <v>4611</v>
      </c>
      <c r="G132" s="23">
        <v>2107</v>
      </c>
      <c r="H132" s="24">
        <v>0.45695076989806899</v>
      </c>
      <c r="I132" s="24">
        <v>0.39813527199999998</v>
      </c>
      <c r="J132" s="58">
        <v>3202</v>
      </c>
      <c r="K132" s="58">
        <v>1459</v>
      </c>
      <c r="L132" s="24">
        <v>0.45565271705184202</v>
      </c>
      <c r="N132" s="2" t="s">
        <v>48</v>
      </c>
      <c r="O132" s="2" t="s">
        <v>49</v>
      </c>
      <c r="P132" s="2" t="s">
        <v>192</v>
      </c>
      <c r="Q132" s="2" t="s">
        <v>35</v>
      </c>
      <c r="R132" s="23">
        <v>40</v>
      </c>
      <c r="S132" s="23">
        <v>13</v>
      </c>
      <c r="T132" s="2">
        <v>0.32500000000000001</v>
      </c>
      <c r="U132" s="14" t="str">
        <f>VLOOKUP(flu_staff[[#This Row],[trust_code]],trust_lookup[],3,0)</f>
        <v>CLCH</v>
      </c>
      <c r="W132" s="2" t="s">
        <v>182</v>
      </c>
      <c r="X132" s="2" t="s">
        <v>183</v>
      </c>
      <c r="Y132" s="2" t="s">
        <v>27</v>
      </c>
      <c r="Z132" s="2" t="s">
        <v>82</v>
      </c>
      <c r="AA132" s="23">
        <v>132</v>
      </c>
      <c r="AB132" s="23">
        <v>35</v>
      </c>
      <c r="AC132" s="24">
        <v>0.26515151515151503</v>
      </c>
      <c r="AD132" s="14" t="str">
        <f>VLOOKUP(flu_eth_ep[[#This Row],[trust_code]],trust_lookup[],3,0)</f>
        <v>UCLH</v>
      </c>
      <c r="AE132" s="14" t="str">
        <f>VLOOKUP(flu_eth_ep[[#This Row],[trust_code]],trust_lookup[],4,0)</f>
        <v>Acute</v>
      </c>
    </row>
    <row r="133" spans="2:31" x14ac:dyDescent="0.35">
      <c r="B133" s="2" t="s">
        <v>343</v>
      </c>
      <c r="C133" s="2" t="s">
        <v>344</v>
      </c>
      <c r="D133" s="2" t="s">
        <v>345</v>
      </c>
      <c r="E133" s="2" t="s">
        <v>24</v>
      </c>
      <c r="F133" s="23">
        <v>2938</v>
      </c>
      <c r="G133" s="23">
        <v>1556</v>
      </c>
      <c r="H133" s="24">
        <v>0.52961198093941397</v>
      </c>
      <c r="I133" s="24">
        <v>0.47435549500000002</v>
      </c>
      <c r="J133" s="58">
        <v>861</v>
      </c>
      <c r="K133" s="58">
        <v>409</v>
      </c>
      <c r="L133" s="24">
        <v>0.47502903600464502</v>
      </c>
      <c r="N133" s="2" t="s">
        <v>48</v>
      </c>
      <c r="O133" s="2" t="s">
        <v>49</v>
      </c>
      <c r="P133" s="2" t="s">
        <v>192</v>
      </c>
      <c r="Q133" s="2" t="s">
        <v>67</v>
      </c>
      <c r="R133" s="23">
        <v>93</v>
      </c>
      <c r="S133" s="23">
        <v>35</v>
      </c>
      <c r="T133" s="2">
        <v>0.37634408602150499</v>
      </c>
      <c r="U133" s="14" t="str">
        <f>VLOOKUP(flu_staff[[#This Row],[trust_code]],trust_lookup[],3,0)</f>
        <v>CLCH</v>
      </c>
      <c r="W133" s="2" t="s">
        <v>182</v>
      </c>
      <c r="X133" s="2" t="s">
        <v>183</v>
      </c>
      <c r="Y133" s="2" t="s">
        <v>27</v>
      </c>
      <c r="Z133" s="2" t="s">
        <v>94</v>
      </c>
      <c r="AA133" s="23">
        <v>54</v>
      </c>
      <c r="AB133" s="23">
        <v>29</v>
      </c>
      <c r="AC133" s="24">
        <v>0.53703703703703698</v>
      </c>
      <c r="AD133" s="14" t="str">
        <f>VLOOKUP(flu_eth_ep[[#This Row],[trust_code]],trust_lookup[],3,0)</f>
        <v>UCLH</v>
      </c>
      <c r="AE133" s="14" t="str">
        <f>VLOOKUP(flu_eth_ep[[#This Row],[trust_code]],trust_lookup[],4,0)</f>
        <v>Acute</v>
      </c>
    </row>
    <row r="134" spans="2:31" x14ac:dyDescent="0.35">
      <c r="B134" s="2" t="s">
        <v>346</v>
      </c>
      <c r="C134" s="2" t="s">
        <v>347</v>
      </c>
      <c r="D134" s="2" t="s">
        <v>345</v>
      </c>
      <c r="E134" s="2" t="s">
        <v>24</v>
      </c>
      <c r="F134" s="23">
        <v>1012</v>
      </c>
      <c r="G134" s="23">
        <v>541</v>
      </c>
      <c r="H134" s="24">
        <v>0.53458498023715395</v>
      </c>
      <c r="I134" s="24">
        <v>0.58061224499999997</v>
      </c>
      <c r="J134" s="58">
        <v>336</v>
      </c>
      <c r="K134" s="58">
        <v>201</v>
      </c>
      <c r="L134" s="24">
        <v>0.59821428571428503</v>
      </c>
      <c r="N134" s="2" t="s">
        <v>48</v>
      </c>
      <c r="O134" s="2" t="s">
        <v>49</v>
      </c>
      <c r="P134" s="2" t="s">
        <v>192</v>
      </c>
      <c r="Q134" s="2" t="s">
        <v>28</v>
      </c>
      <c r="R134" s="23">
        <v>1</v>
      </c>
      <c r="S134" s="23">
        <v>0</v>
      </c>
      <c r="T134" s="2">
        <v>0</v>
      </c>
      <c r="U134" s="14" t="str">
        <f>VLOOKUP(flu_staff[[#This Row],[trust_code]],trust_lookup[],3,0)</f>
        <v>CLCH</v>
      </c>
      <c r="W134" s="2" t="s">
        <v>182</v>
      </c>
      <c r="X134" s="2" t="s">
        <v>183</v>
      </c>
      <c r="Y134" s="2" t="s">
        <v>27</v>
      </c>
      <c r="Z134" s="2" t="s">
        <v>106</v>
      </c>
      <c r="AA134" s="23">
        <v>153</v>
      </c>
      <c r="AB134" s="23">
        <v>85</v>
      </c>
      <c r="AC134" s="24">
        <v>0.55555555555555503</v>
      </c>
      <c r="AD134" s="14" t="str">
        <f>VLOOKUP(flu_eth_ep[[#This Row],[trust_code]],trust_lookup[],3,0)</f>
        <v>UCLH</v>
      </c>
      <c r="AE134" s="14" t="str">
        <f>VLOOKUP(flu_eth_ep[[#This Row],[trust_code]],trust_lookup[],4,0)</f>
        <v>Acute</v>
      </c>
    </row>
    <row r="135" spans="2:31" x14ac:dyDescent="0.35">
      <c r="B135" s="2" t="s">
        <v>348</v>
      </c>
      <c r="C135" s="2" t="s">
        <v>349</v>
      </c>
      <c r="D135" s="2" t="s">
        <v>345</v>
      </c>
      <c r="E135" s="2" t="s">
        <v>24</v>
      </c>
      <c r="F135" s="23">
        <v>3271</v>
      </c>
      <c r="G135" s="23">
        <v>1457</v>
      </c>
      <c r="H135" s="24">
        <v>0.44542953225313298</v>
      </c>
      <c r="I135" s="24">
        <v>0.47012987000000001</v>
      </c>
      <c r="J135" s="58">
        <v>1210</v>
      </c>
      <c r="K135" s="58">
        <v>607</v>
      </c>
      <c r="L135" s="24">
        <v>0.50165289256198298</v>
      </c>
      <c r="N135" s="2" t="s">
        <v>55</v>
      </c>
      <c r="O135" s="2" t="s">
        <v>56</v>
      </c>
      <c r="P135" s="2" t="s">
        <v>192</v>
      </c>
      <c r="Q135" s="2" t="s">
        <v>67</v>
      </c>
      <c r="R135" s="23">
        <v>198</v>
      </c>
      <c r="S135" s="23">
        <v>94</v>
      </c>
      <c r="T135" s="2">
        <v>0.47474747474747397</v>
      </c>
      <c r="U135" s="14" t="str">
        <f>VLOOKUP(flu_staff[[#This Row],[trust_code]],trust_lookup[],3,0)</f>
        <v>ChelWest</v>
      </c>
      <c r="W135" s="2" t="s">
        <v>182</v>
      </c>
      <c r="X135" s="2" t="s">
        <v>183</v>
      </c>
      <c r="Y135" s="2" t="s">
        <v>27</v>
      </c>
      <c r="Z135" s="2" t="s">
        <v>88</v>
      </c>
      <c r="AA135" s="23">
        <v>124</v>
      </c>
      <c r="AB135" s="23">
        <v>44</v>
      </c>
      <c r="AC135" s="24">
        <v>0.35483870967741898</v>
      </c>
      <c r="AD135" s="14" t="str">
        <f>VLOOKUP(flu_eth_ep[[#This Row],[trust_code]],trust_lookup[],3,0)</f>
        <v>UCLH</v>
      </c>
      <c r="AE135" s="14" t="str">
        <f>VLOOKUP(flu_eth_ep[[#This Row],[trust_code]],trust_lookup[],4,0)</f>
        <v>Acute</v>
      </c>
    </row>
    <row r="136" spans="2:31" x14ac:dyDescent="0.35">
      <c r="B136" s="2" t="s">
        <v>350</v>
      </c>
      <c r="C136" s="2" t="s">
        <v>351</v>
      </c>
      <c r="D136" s="2" t="s">
        <v>345</v>
      </c>
      <c r="E136" s="2" t="s">
        <v>24</v>
      </c>
      <c r="F136" s="23">
        <v>3793</v>
      </c>
      <c r="G136" s="23">
        <v>1928</v>
      </c>
      <c r="H136" s="24">
        <v>0.50830477194832502</v>
      </c>
      <c r="I136" s="24">
        <v>0.49732620299999902</v>
      </c>
      <c r="J136" s="58">
        <v>808</v>
      </c>
      <c r="K136" s="58">
        <v>351</v>
      </c>
      <c r="L136" s="24">
        <v>0.43440594059405901</v>
      </c>
      <c r="N136" s="2" t="s">
        <v>55</v>
      </c>
      <c r="O136" s="2" t="s">
        <v>56</v>
      </c>
      <c r="P136" s="2" t="s">
        <v>192</v>
      </c>
      <c r="Q136" s="2" t="s">
        <v>53</v>
      </c>
      <c r="R136" s="23">
        <v>1835</v>
      </c>
      <c r="S136" s="23">
        <v>819</v>
      </c>
      <c r="T136" s="2">
        <v>0.44632152588555801</v>
      </c>
      <c r="U136" s="14" t="str">
        <f>VLOOKUP(flu_staff[[#This Row],[trust_code]],trust_lookup[],3,0)</f>
        <v>ChelWest</v>
      </c>
      <c r="W136" s="2" t="s">
        <v>182</v>
      </c>
      <c r="X136" s="2" t="s">
        <v>183</v>
      </c>
      <c r="Y136" s="2" t="s">
        <v>27</v>
      </c>
      <c r="Z136" s="2" t="s">
        <v>47</v>
      </c>
      <c r="AA136" s="23">
        <v>54</v>
      </c>
      <c r="AB136" s="23">
        <v>13</v>
      </c>
      <c r="AC136" s="24">
        <v>0.24074074074074001</v>
      </c>
      <c r="AD136" s="14" t="str">
        <f>VLOOKUP(flu_eth_ep[[#This Row],[trust_code]],trust_lookup[],3,0)</f>
        <v>UCLH</v>
      </c>
      <c r="AE136" s="14" t="str">
        <f>VLOOKUP(flu_eth_ep[[#This Row],[trust_code]],trust_lookup[],4,0)</f>
        <v>Acute</v>
      </c>
    </row>
    <row r="137" spans="2:31" x14ac:dyDescent="0.35">
      <c r="B137" s="2" t="s">
        <v>352</v>
      </c>
      <c r="C137" s="2" t="s">
        <v>353</v>
      </c>
      <c r="D137" s="2" t="s">
        <v>345</v>
      </c>
      <c r="E137" s="2" t="s">
        <v>24</v>
      </c>
      <c r="F137" s="23">
        <v>1781</v>
      </c>
      <c r="G137" s="23">
        <v>881</v>
      </c>
      <c r="H137" s="24">
        <v>0.49466591802358201</v>
      </c>
      <c r="I137" s="24">
        <v>0.61197854600000001</v>
      </c>
      <c r="J137" s="58">
        <v>762</v>
      </c>
      <c r="K137" s="58">
        <v>440</v>
      </c>
      <c r="L137" s="24">
        <v>0.57742782152230898</v>
      </c>
      <c r="N137" s="2" t="s">
        <v>55</v>
      </c>
      <c r="O137" s="2" t="s">
        <v>56</v>
      </c>
      <c r="P137" s="2" t="s">
        <v>192</v>
      </c>
      <c r="Q137" s="2" t="s">
        <v>42</v>
      </c>
      <c r="R137" s="23">
        <v>1381</v>
      </c>
      <c r="S137" s="23">
        <v>730</v>
      </c>
      <c r="T137" s="2">
        <v>0.52860246198406902</v>
      </c>
      <c r="U137" s="14" t="str">
        <f>VLOOKUP(flu_staff[[#This Row],[trust_code]],trust_lookup[],3,0)</f>
        <v>ChelWest</v>
      </c>
      <c r="W137" s="2" t="s">
        <v>182</v>
      </c>
      <c r="X137" s="2" t="s">
        <v>183</v>
      </c>
      <c r="Y137" s="2" t="s">
        <v>27</v>
      </c>
      <c r="Z137" s="2" t="s">
        <v>112</v>
      </c>
      <c r="AA137" s="23">
        <v>696</v>
      </c>
      <c r="AB137" s="23">
        <v>306</v>
      </c>
      <c r="AC137" s="24">
        <v>0.43965517241379298</v>
      </c>
      <c r="AD137" s="14" t="str">
        <f>VLOOKUP(flu_eth_ep[[#This Row],[trust_code]],trust_lookup[],3,0)</f>
        <v>UCLH</v>
      </c>
      <c r="AE137" s="14" t="str">
        <f>VLOOKUP(flu_eth_ep[[#This Row],[trust_code]],trust_lookup[],4,0)</f>
        <v>Acute</v>
      </c>
    </row>
    <row r="138" spans="2:31" x14ac:dyDescent="0.35">
      <c r="B138" s="2" t="s">
        <v>354</v>
      </c>
      <c r="C138" s="2" t="s">
        <v>355</v>
      </c>
      <c r="D138" s="2" t="s">
        <v>345</v>
      </c>
      <c r="E138" s="2" t="s">
        <v>24</v>
      </c>
      <c r="F138" s="23">
        <v>1213</v>
      </c>
      <c r="G138" s="23">
        <v>541</v>
      </c>
      <c r="H138" s="24">
        <v>0.44600164880461601</v>
      </c>
      <c r="I138" s="24">
        <v>0.41205468099999998</v>
      </c>
      <c r="J138" s="58">
        <v>538</v>
      </c>
      <c r="K138" s="58">
        <v>219</v>
      </c>
      <c r="L138" s="24">
        <v>0.40706319702602201</v>
      </c>
      <c r="N138" s="2" t="s">
        <v>55</v>
      </c>
      <c r="O138" s="2" t="s">
        <v>56</v>
      </c>
      <c r="P138" s="2" t="s">
        <v>192</v>
      </c>
      <c r="Q138" s="2" t="s">
        <v>81</v>
      </c>
      <c r="R138" s="23">
        <v>833</v>
      </c>
      <c r="S138" s="23">
        <v>264</v>
      </c>
      <c r="T138" s="2">
        <v>0.31692677070828301</v>
      </c>
      <c r="U138" s="14" t="str">
        <f>VLOOKUP(flu_staff[[#This Row],[trust_code]],trust_lookup[],3,0)</f>
        <v>ChelWest</v>
      </c>
      <c r="W138" s="2" t="s">
        <v>182</v>
      </c>
      <c r="X138" s="2" t="s">
        <v>183</v>
      </c>
      <c r="Y138" s="2" t="s">
        <v>27</v>
      </c>
      <c r="Z138" s="2" t="s">
        <v>75</v>
      </c>
      <c r="AA138" s="23">
        <v>230</v>
      </c>
      <c r="AB138" s="23">
        <v>43</v>
      </c>
      <c r="AC138" s="24">
        <v>0.18695652173912999</v>
      </c>
      <c r="AD138" s="14" t="str">
        <f>VLOOKUP(flu_eth_ep[[#This Row],[trust_code]],trust_lookup[],3,0)</f>
        <v>UCLH</v>
      </c>
      <c r="AE138" s="14" t="str">
        <f>VLOOKUP(flu_eth_ep[[#This Row],[trust_code]],trust_lookup[],4,0)</f>
        <v>Acute</v>
      </c>
    </row>
    <row r="139" spans="2:31" x14ac:dyDescent="0.35">
      <c r="B139" s="2" t="s">
        <v>356</v>
      </c>
      <c r="C139" s="2" t="s">
        <v>357</v>
      </c>
      <c r="D139" s="2" t="s">
        <v>345</v>
      </c>
      <c r="E139" s="2" t="s">
        <v>24</v>
      </c>
      <c r="F139" s="23">
        <v>9810</v>
      </c>
      <c r="G139" s="23">
        <v>4337</v>
      </c>
      <c r="H139" s="24">
        <v>0.44209989806319999</v>
      </c>
      <c r="I139" s="24">
        <v>0.39802388399999999</v>
      </c>
      <c r="J139" s="58">
        <v>6129</v>
      </c>
      <c r="K139" s="58">
        <v>2301</v>
      </c>
      <c r="L139" s="24">
        <v>0.37542829172785103</v>
      </c>
      <c r="N139" s="2" t="s">
        <v>55</v>
      </c>
      <c r="O139" s="2" t="s">
        <v>56</v>
      </c>
      <c r="P139" s="2" t="s">
        <v>192</v>
      </c>
      <c r="Q139" s="2" t="s">
        <v>74</v>
      </c>
      <c r="R139" s="23">
        <v>21</v>
      </c>
      <c r="S139" s="23">
        <v>7</v>
      </c>
      <c r="T139" s="2">
        <v>0.33333333333333298</v>
      </c>
      <c r="U139" s="14" t="str">
        <f>VLOOKUP(flu_staff[[#This Row],[trust_code]],trust_lookup[],3,0)</f>
        <v>ChelWest</v>
      </c>
      <c r="W139" s="2" t="s">
        <v>182</v>
      </c>
      <c r="X139" s="2" t="s">
        <v>183</v>
      </c>
      <c r="Y139" s="2" t="s">
        <v>27</v>
      </c>
      <c r="Z139" s="2" t="s">
        <v>123</v>
      </c>
      <c r="AA139" s="23">
        <v>672</v>
      </c>
      <c r="AB139" s="23">
        <v>266</v>
      </c>
      <c r="AC139" s="24">
        <v>0.39583333333333298</v>
      </c>
      <c r="AD139" s="14" t="str">
        <f>VLOOKUP(flu_eth_ep[[#This Row],[trust_code]],trust_lookup[],3,0)</f>
        <v>UCLH</v>
      </c>
      <c r="AE139" s="14" t="str">
        <f>VLOOKUP(flu_eth_ep[[#This Row],[trust_code]],trust_lookup[],4,0)</f>
        <v>Acute</v>
      </c>
    </row>
    <row r="140" spans="2:31" x14ac:dyDescent="0.35">
      <c r="B140" s="2" t="s">
        <v>358</v>
      </c>
      <c r="C140" s="2" t="s">
        <v>359</v>
      </c>
      <c r="D140" s="2" t="s">
        <v>345</v>
      </c>
      <c r="E140" s="2" t="s">
        <v>24</v>
      </c>
      <c r="F140" s="23">
        <v>1412</v>
      </c>
      <c r="G140" s="23">
        <v>570</v>
      </c>
      <c r="H140" s="24">
        <v>0.40368271954674201</v>
      </c>
      <c r="I140" s="24">
        <v>0.36834929999999999</v>
      </c>
      <c r="J140" s="58">
        <v>569</v>
      </c>
      <c r="K140" s="58">
        <v>192</v>
      </c>
      <c r="L140" s="24">
        <v>0.33743409490333898</v>
      </c>
      <c r="N140" s="2" t="s">
        <v>55</v>
      </c>
      <c r="O140" s="2" t="s">
        <v>56</v>
      </c>
      <c r="P140" s="2" t="s">
        <v>192</v>
      </c>
      <c r="Q140" s="2" t="s">
        <v>28</v>
      </c>
      <c r="R140" s="23">
        <v>1</v>
      </c>
      <c r="S140" s="23">
        <v>1</v>
      </c>
      <c r="T140" s="2">
        <v>1</v>
      </c>
      <c r="U140" s="14" t="str">
        <f>VLOOKUP(flu_staff[[#This Row],[trust_code]],trust_lookup[],3,0)</f>
        <v>ChelWest</v>
      </c>
      <c r="W140" s="2" t="s">
        <v>182</v>
      </c>
      <c r="X140" s="2" t="s">
        <v>183</v>
      </c>
      <c r="Y140" s="2" t="s">
        <v>27</v>
      </c>
      <c r="Z140" s="2" t="s">
        <v>135</v>
      </c>
      <c r="AA140" s="23">
        <v>138</v>
      </c>
      <c r="AB140" s="23">
        <v>76</v>
      </c>
      <c r="AC140" s="24">
        <v>0.55072463768115898</v>
      </c>
      <c r="AD140" s="14" t="str">
        <f>VLOOKUP(flu_eth_ep[[#This Row],[trust_code]],trust_lookup[],3,0)</f>
        <v>UCLH</v>
      </c>
      <c r="AE140" s="14" t="str">
        <f>VLOOKUP(flu_eth_ep[[#This Row],[trust_code]],trust_lookup[],4,0)</f>
        <v>Acute</v>
      </c>
    </row>
    <row r="141" spans="2:31" x14ac:dyDescent="0.35">
      <c r="B141" s="2" t="s">
        <v>360</v>
      </c>
      <c r="C141" s="2" t="s">
        <v>361</v>
      </c>
      <c r="D141" s="2" t="s">
        <v>345</v>
      </c>
      <c r="E141" s="2" t="s">
        <v>24</v>
      </c>
      <c r="F141" s="23">
        <v>7191</v>
      </c>
      <c r="G141" s="23">
        <v>3419</v>
      </c>
      <c r="H141" s="24">
        <v>0.47545543039910998</v>
      </c>
      <c r="I141" s="24">
        <v>0.48208689799999999</v>
      </c>
      <c r="J141" s="58">
        <v>3037</v>
      </c>
      <c r="K141" s="58">
        <v>1274</v>
      </c>
      <c r="L141" s="24">
        <v>0.41949292064537302</v>
      </c>
      <c r="N141" s="2" t="s">
        <v>55</v>
      </c>
      <c r="O141" s="2" t="s">
        <v>56</v>
      </c>
      <c r="P141" s="2" t="s">
        <v>192</v>
      </c>
      <c r="Q141" s="2" t="s">
        <v>60</v>
      </c>
      <c r="R141" s="23">
        <v>314</v>
      </c>
      <c r="S141" s="23">
        <v>143</v>
      </c>
      <c r="T141" s="2">
        <v>0.45541401273885301</v>
      </c>
      <c r="U141" s="14" t="str">
        <f>VLOOKUP(flu_staff[[#This Row],[trust_code]],trust_lookup[],3,0)</f>
        <v>ChelWest</v>
      </c>
      <c r="W141" s="2" t="s">
        <v>182</v>
      </c>
      <c r="X141" s="2" t="s">
        <v>183</v>
      </c>
      <c r="Y141" s="2" t="s">
        <v>27</v>
      </c>
      <c r="Z141" s="2" t="s">
        <v>100</v>
      </c>
      <c r="AA141" s="23">
        <v>733</v>
      </c>
      <c r="AB141" s="23">
        <v>168</v>
      </c>
      <c r="AC141" s="24">
        <v>0.22919508867667099</v>
      </c>
      <c r="AD141" s="14" t="str">
        <f>VLOOKUP(flu_eth_ep[[#This Row],[trust_code]],trust_lookup[],3,0)</f>
        <v>UCLH</v>
      </c>
      <c r="AE141" s="14" t="str">
        <f>VLOOKUP(flu_eth_ep[[#This Row],[trust_code]],trust_lookup[],4,0)</f>
        <v>Acute</v>
      </c>
    </row>
    <row r="142" spans="2:31" x14ac:dyDescent="0.35">
      <c r="B142" s="2" t="s">
        <v>362</v>
      </c>
      <c r="C142" s="2" t="s">
        <v>363</v>
      </c>
      <c r="D142" s="2" t="s">
        <v>345</v>
      </c>
      <c r="E142" s="2" t="s">
        <v>24</v>
      </c>
      <c r="F142" s="23">
        <v>8968</v>
      </c>
      <c r="G142" s="23">
        <v>3704</v>
      </c>
      <c r="H142" s="24">
        <v>0.413024085637823</v>
      </c>
      <c r="I142" s="24">
        <v>0.38175194800000001</v>
      </c>
      <c r="J142" s="58">
        <v>2321</v>
      </c>
      <c r="K142" s="58">
        <v>1038</v>
      </c>
      <c r="L142" s="24">
        <v>0.44722102542007702</v>
      </c>
      <c r="N142" s="2" t="s">
        <v>55</v>
      </c>
      <c r="O142" s="2" t="s">
        <v>56</v>
      </c>
      <c r="P142" s="2" t="s">
        <v>192</v>
      </c>
      <c r="Q142" s="2" t="s">
        <v>46</v>
      </c>
      <c r="R142" s="23">
        <v>309</v>
      </c>
      <c r="S142" s="23">
        <v>111</v>
      </c>
      <c r="T142" s="2">
        <v>0.35922330097087302</v>
      </c>
      <c r="U142" s="14" t="str">
        <f>VLOOKUP(flu_staff[[#This Row],[trust_code]],trust_lookup[],3,0)</f>
        <v>ChelWest</v>
      </c>
      <c r="W142" s="2" t="s">
        <v>182</v>
      </c>
      <c r="X142" s="2" t="s">
        <v>183</v>
      </c>
      <c r="Y142" s="2" t="s">
        <v>27</v>
      </c>
      <c r="Z142" s="2" t="s">
        <v>129</v>
      </c>
      <c r="AA142" s="23">
        <v>40</v>
      </c>
      <c r="AB142" s="23">
        <v>11</v>
      </c>
      <c r="AC142" s="24">
        <v>0.27500000000000002</v>
      </c>
      <c r="AD142" s="14" t="str">
        <f>VLOOKUP(flu_eth_ep[[#This Row],[trust_code]],trust_lookup[],3,0)</f>
        <v>UCLH</v>
      </c>
      <c r="AE142" s="14" t="str">
        <f>VLOOKUP(flu_eth_ep[[#This Row],[trust_code]],trust_lookup[],4,0)</f>
        <v>Acute</v>
      </c>
    </row>
    <row r="143" spans="2:31" x14ac:dyDescent="0.35">
      <c r="B143" s="2" t="s">
        <v>364</v>
      </c>
      <c r="C143" s="2" t="s">
        <v>365</v>
      </c>
      <c r="D143" s="2" t="s">
        <v>345</v>
      </c>
      <c r="E143" s="2" t="s">
        <v>24</v>
      </c>
      <c r="F143" s="23">
        <v>4459</v>
      </c>
      <c r="G143" s="23">
        <v>2359</v>
      </c>
      <c r="H143" s="24">
        <v>0.52904238618524302</v>
      </c>
      <c r="I143" s="24">
        <v>0.51114111299999998</v>
      </c>
      <c r="J143" s="58">
        <v>1257</v>
      </c>
      <c r="K143" s="58">
        <v>705</v>
      </c>
      <c r="L143" s="24">
        <v>0.56085918854415195</v>
      </c>
      <c r="N143" s="2" t="s">
        <v>55</v>
      </c>
      <c r="O143" s="2" t="s">
        <v>56</v>
      </c>
      <c r="P143" s="2" t="s">
        <v>192</v>
      </c>
      <c r="Q143" s="2" t="s">
        <v>35</v>
      </c>
      <c r="R143" s="23">
        <v>5</v>
      </c>
      <c r="S143" s="23">
        <v>2</v>
      </c>
      <c r="T143" s="2">
        <v>0.4</v>
      </c>
      <c r="U143" s="14" t="str">
        <f>VLOOKUP(flu_staff[[#This Row],[trust_code]],trust_lookup[],3,0)</f>
        <v>ChelWest</v>
      </c>
      <c r="W143" s="2" t="s">
        <v>182</v>
      </c>
      <c r="X143" s="2" t="s">
        <v>183</v>
      </c>
      <c r="Y143" s="2" t="s">
        <v>27</v>
      </c>
      <c r="Z143" s="2" t="s">
        <v>36</v>
      </c>
      <c r="AA143" s="23">
        <v>598</v>
      </c>
      <c r="AB143" s="23">
        <v>264</v>
      </c>
      <c r="AC143" s="24">
        <v>0.441471571906354</v>
      </c>
      <c r="AD143" s="14" t="str">
        <f>VLOOKUP(flu_eth_ep[[#This Row],[trust_code]],trust_lookup[],3,0)</f>
        <v>UCLH</v>
      </c>
      <c r="AE143" s="14" t="str">
        <f>VLOOKUP(flu_eth_ep[[#This Row],[trust_code]],trust_lookup[],4,0)</f>
        <v>Acute</v>
      </c>
    </row>
    <row r="144" spans="2:31" x14ac:dyDescent="0.35">
      <c r="B144" s="2" t="s">
        <v>366</v>
      </c>
      <c r="C144" s="2" t="s">
        <v>367</v>
      </c>
      <c r="D144" s="2" t="s">
        <v>345</v>
      </c>
      <c r="E144" s="2" t="s">
        <v>24</v>
      </c>
      <c r="F144" s="23">
        <v>1112</v>
      </c>
      <c r="G144" s="23">
        <v>568</v>
      </c>
      <c r="H144" s="24">
        <v>0.51079136690647398</v>
      </c>
      <c r="I144" s="24">
        <v>0.40420944599999997</v>
      </c>
      <c r="J144" s="58">
        <v>579</v>
      </c>
      <c r="K144" s="58">
        <v>279</v>
      </c>
      <c r="L144" s="24">
        <v>0.48186528497409298</v>
      </c>
      <c r="N144" s="2" t="s">
        <v>101</v>
      </c>
      <c r="O144" s="2" t="s">
        <v>102</v>
      </c>
      <c r="P144" s="2" t="s">
        <v>192</v>
      </c>
      <c r="Q144" s="2" t="s">
        <v>53</v>
      </c>
      <c r="R144" s="23">
        <v>4398</v>
      </c>
      <c r="S144" s="23">
        <v>1568</v>
      </c>
      <c r="T144" s="2">
        <v>0.35652569349704399</v>
      </c>
      <c r="U144" s="14" t="str">
        <f>VLOOKUP(flu_staff[[#This Row],[trust_code]],trust_lookup[],3,0)</f>
        <v>Imperial</v>
      </c>
      <c r="W144" s="2" t="s">
        <v>182</v>
      </c>
      <c r="X144" s="2" t="s">
        <v>183</v>
      </c>
      <c r="Y144" s="2" t="s">
        <v>27</v>
      </c>
      <c r="Z144" s="2" t="s">
        <v>29</v>
      </c>
      <c r="AA144" s="23">
        <v>150</v>
      </c>
      <c r="AB144" s="23">
        <v>58</v>
      </c>
      <c r="AC144" s="24">
        <v>0.38666666666666599</v>
      </c>
      <c r="AD144" s="14" t="str">
        <f>VLOOKUP(flu_eth_ep[[#This Row],[trust_code]],trust_lookup[],3,0)</f>
        <v>UCLH</v>
      </c>
      <c r="AE144" s="14" t="str">
        <f>VLOOKUP(flu_eth_ep[[#This Row],[trust_code]],trust_lookup[],4,0)</f>
        <v>Acute</v>
      </c>
    </row>
    <row r="145" spans="2:31" x14ac:dyDescent="0.35">
      <c r="B145" s="2" t="s">
        <v>368</v>
      </c>
      <c r="C145" s="2" t="s">
        <v>369</v>
      </c>
      <c r="D145" s="2" t="s">
        <v>345</v>
      </c>
      <c r="E145" s="2" t="s">
        <v>24</v>
      </c>
      <c r="F145" s="23">
        <v>1016</v>
      </c>
      <c r="G145" s="23">
        <v>495</v>
      </c>
      <c r="H145" s="24">
        <v>0.48720472440944801</v>
      </c>
      <c r="I145" s="24">
        <v>0.51473029000000003</v>
      </c>
      <c r="J145" s="58">
        <v>356</v>
      </c>
      <c r="K145" s="58">
        <v>128</v>
      </c>
      <c r="L145" s="24">
        <v>0.35955056179775202</v>
      </c>
      <c r="N145" s="2" t="s">
        <v>101</v>
      </c>
      <c r="O145" s="2" t="s">
        <v>102</v>
      </c>
      <c r="P145" s="2" t="s">
        <v>192</v>
      </c>
      <c r="Q145" s="2" t="s">
        <v>74</v>
      </c>
      <c r="R145" s="23">
        <v>706</v>
      </c>
      <c r="S145" s="23">
        <v>229</v>
      </c>
      <c r="T145" s="2">
        <v>0.32436260623229402</v>
      </c>
      <c r="U145" s="14" t="str">
        <f>VLOOKUP(flu_staff[[#This Row],[trust_code]],trust_lookup[],3,0)</f>
        <v>Imperial</v>
      </c>
      <c r="W145" s="2" t="s">
        <v>182</v>
      </c>
      <c r="X145" s="2" t="s">
        <v>183</v>
      </c>
      <c r="Y145" s="2" t="s">
        <v>27</v>
      </c>
      <c r="Z145" s="2" t="s">
        <v>36</v>
      </c>
      <c r="AA145" s="23">
        <v>18</v>
      </c>
      <c r="AB145" s="23">
        <v>1</v>
      </c>
      <c r="AC145" s="24">
        <v>5.5555555555555497E-2</v>
      </c>
      <c r="AD145" s="14" t="str">
        <f>VLOOKUP(flu_eth_ep[[#This Row],[trust_code]],trust_lookup[],3,0)</f>
        <v>UCLH</v>
      </c>
      <c r="AE145" s="14" t="str">
        <f>VLOOKUP(flu_eth_ep[[#This Row],[trust_code]],trust_lookup[],4,0)</f>
        <v>Acute</v>
      </c>
    </row>
    <row r="146" spans="2:31" x14ac:dyDescent="0.35">
      <c r="B146" s="2" t="s">
        <v>370</v>
      </c>
      <c r="C146" s="2" t="s">
        <v>371</v>
      </c>
      <c r="D146" s="2" t="s">
        <v>345</v>
      </c>
      <c r="E146" s="2" t="s">
        <v>24</v>
      </c>
      <c r="F146" s="23">
        <v>3333</v>
      </c>
      <c r="G146" s="23">
        <v>1668</v>
      </c>
      <c r="H146" s="24">
        <v>0.50045004500449997</v>
      </c>
      <c r="I146" s="24">
        <v>0.49787765299999998</v>
      </c>
      <c r="J146" s="58">
        <v>995</v>
      </c>
      <c r="K146" s="58">
        <v>429</v>
      </c>
      <c r="L146" s="24">
        <v>0.43115577889447199</v>
      </c>
      <c r="N146" s="2" t="s">
        <v>101</v>
      </c>
      <c r="O146" s="2" t="s">
        <v>102</v>
      </c>
      <c r="P146" s="2" t="s">
        <v>192</v>
      </c>
      <c r="Q146" s="2" t="s">
        <v>28</v>
      </c>
      <c r="R146" s="23">
        <v>986</v>
      </c>
      <c r="S146" s="23">
        <v>274</v>
      </c>
      <c r="T146" s="2">
        <v>0.27789046653144001</v>
      </c>
      <c r="U146" s="14" t="str">
        <f>VLOOKUP(flu_staff[[#This Row],[trust_code]],trust_lookup[],3,0)</f>
        <v>Imperial</v>
      </c>
      <c r="W146" s="2" t="s">
        <v>182</v>
      </c>
      <c r="X146" s="2" t="s">
        <v>183</v>
      </c>
      <c r="Y146" s="2" t="s">
        <v>27</v>
      </c>
      <c r="Z146" s="2" t="s">
        <v>54</v>
      </c>
      <c r="AA146" s="23">
        <v>1051</v>
      </c>
      <c r="AB146" s="23">
        <v>458</v>
      </c>
      <c r="AC146" s="24">
        <v>0.43577545195052297</v>
      </c>
      <c r="AD146" s="14" t="str">
        <f>VLOOKUP(flu_eth_ep[[#This Row],[trust_code]],trust_lookup[],3,0)</f>
        <v>UCLH</v>
      </c>
      <c r="AE146" s="14" t="str">
        <f>VLOOKUP(flu_eth_ep[[#This Row],[trust_code]],trust_lookup[],4,0)</f>
        <v>Acute</v>
      </c>
    </row>
    <row r="147" spans="2:31" x14ac:dyDescent="0.35">
      <c r="B147" s="2" t="s">
        <v>372</v>
      </c>
      <c r="C147" s="2" t="s">
        <v>373</v>
      </c>
      <c r="D147" s="2" t="s">
        <v>345</v>
      </c>
      <c r="E147" s="2" t="s">
        <v>24</v>
      </c>
      <c r="F147" s="23">
        <v>1093</v>
      </c>
      <c r="G147" s="23">
        <v>520</v>
      </c>
      <c r="H147" s="24">
        <v>0.47575480329368702</v>
      </c>
      <c r="I147" s="24">
        <v>0.51884576100000002</v>
      </c>
      <c r="J147" s="58">
        <v>517</v>
      </c>
      <c r="K147" s="58">
        <v>279</v>
      </c>
      <c r="L147" s="24">
        <v>0.539651837524178</v>
      </c>
      <c r="N147" s="2" t="s">
        <v>101</v>
      </c>
      <c r="O147" s="2" t="s">
        <v>102</v>
      </c>
      <c r="P147" s="2" t="s">
        <v>192</v>
      </c>
      <c r="Q147" s="2" t="s">
        <v>35</v>
      </c>
      <c r="R147" s="23">
        <v>8</v>
      </c>
      <c r="S147" s="23">
        <v>2</v>
      </c>
      <c r="T147" s="2">
        <v>0.25</v>
      </c>
      <c r="U147" s="14" t="str">
        <f>VLOOKUP(flu_staff[[#This Row],[trust_code]],trust_lookup[],3,0)</f>
        <v>Imperial</v>
      </c>
      <c r="W147" s="2" t="s">
        <v>182</v>
      </c>
      <c r="X147" s="2" t="s">
        <v>183</v>
      </c>
      <c r="Y147" s="2" t="s">
        <v>27</v>
      </c>
      <c r="Z147" s="2" t="s">
        <v>141</v>
      </c>
      <c r="AA147" s="23">
        <v>1022</v>
      </c>
      <c r="AB147" s="23">
        <v>398</v>
      </c>
      <c r="AC147" s="24">
        <v>0.38943248532289598</v>
      </c>
      <c r="AD147" s="14" t="str">
        <f>VLOOKUP(flu_eth_ep[[#This Row],[trust_code]],trust_lookup[],3,0)</f>
        <v>UCLH</v>
      </c>
      <c r="AE147" s="14" t="str">
        <f>VLOOKUP(flu_eth_ep[[#This Row],[trust_code]],trust_lookup[],4,0)</f>
        <v>Acute</v>
      </c>
    </row>
    <row r="148" spans="2:31" x14ac:dyDescent="0.35">
      <c r="B148" s="2" t="s">
        <v>374</v>
      </c>
      <c r="C148" s="2" t="s">
        <v>375</v>
      </c>
      <c r="D148" s="2" t="s">
        <v>345</v>
      </c>
      <c r="E148" s="2" t="s">
        <v>24</v>
      </c>
      <c r="F148" s="23">
        <v>4921</v>
      </c>
      <c r="G148" s="23">
        <v>2123</v>
      </c>
      <c r="H148" s="24">
        <v>0.43141637878479899</v>
      </c>
      <c r="I148" s="24">
        <v>0.55022123899999997</v>
      </c>
      <c r="J148" s="58">
        <v>1180</v>
      </c>
      <c r="K148" s="58">
        <v>608</v>
      </c>
      <c r="L148" s="24">
        <v>0.51525423728813502</v>
      </c>
      <c r="N148" s="2" t="s">
        <v>101</v>
      </c>
      <c r="O148" s="2" t="s">
        <v>102</v>
      </c>
      <c r="P148" s="2" t="s">
        <v>192</v>
      </c>
      <c r="Q148" s="2" t="s">
        <v>81</v>
      </c>
      <c r="R148" s="23">
        <v>1402</v>
      </c>
      <c r="S148" s="23">
        <v>363</v>
      </c>
      <c r="T148" s="2">
        <v>0.25891583452211098</v>
      </c>
      <c r="U148" s="14" t="str">
        <f>VLOOKUP(flu_staff[[#This Row],[trust_code]],trust_lookup[],3,0)</f>
        <v>Imperial</v>
      </c>
      <c r="W148" s="2" t="s">
        <v>182</v>
      </c>
      <c r="X148" s="2" t="s">
        <v>183</v>
      </c>
      <c r="Y148" s="2" t="s">
        <v>27</v>
      </c>
      <c r="Z148" s="2" t="s">
        <v>68</v>
      </c>
      <c r="AA148" s="23">
        <v>2240</v>
      </c>
      <c r="AB148" s="23">
        <v>1349</v>
      </c>
      <c r="AC148" s="24">
        <v>0.60223214285714199</v>
      </c>
      <c r="AD148" s="14" t="str">
        <f>VLOOKUP(flu_eth_ep[[#This Row],[trust_code]],trust_lookup[],3,0)</f>
        <v>UCLH</v>
      </c>
      <c r="AE148" s="14" t="str">
        <f>VLOOKUP(flu_eth_ep[[#This Row],[trust_code]],trust_lookup[],4,0)</f>
        <v>Acute</v>
      </c>
    </row>
    <row r="149" spans="2:31" x14ac:dyDescent="0.35">
      <c r="B149" s="2" t="s">
        <v>376</v>
      </c>
      <c r="C149" s="2" t="s">
        <v>377</v>
      </c>
      <c r="D149" s="2" t="s">
        <v>345</v>
      </c>
      <c r="E149" s="2" t="s">
        <v>24</v>
      </c>
      <c r="F149" s="23">
        <v>4888</v>
      </c>
      <c r="G149" s="23">
        <v>2450</v>
      </c>
      <c r="H149" s="24">
        <v>0.50122749590834603</v>
      </c>
      <c r="I149" s="24">
        <v>0.41728905699999902</v>
      </c>
      <c r="J149" s="58">
        <v>2546</v>
      </c>
      <c r="K149" s="58">
        <v>1029</v>
      </c>
      <c r="L149" s="24">
        <v>0.40416339355852299</v>
      </c>
      <c r="N149" s="2" t="s">
        <v>101</v>
      </c>
      <c r="O149" s="2" t="s">
        <v>102</v>
      </c>
      <c r="P149" s="2" t="s">
        <v>192</v>
      </c>
      <c r="Q149" s="2" t="s">
        <v>42</v>
      </c>
      <c r="R149" s="23">
        <v>3077</v>
      </c>
      <c r="S149" s="23">
        <v>1483</v>
      </c>
      <c r="T149" s="2">
        <v>0.48196295092622599</v>
      </c>
      <c r="U149" s="14" t="str">
        <f>VLOOKUP(flu_staff[[#This Row],[trust_code]],trust_lookup[],3,0)</f>
        <v>Imperial</v>
      </c>
      <c r="W149" s="2" t="s">
        <v>185</v>
      </c>
      <c r="X149" s="2" t="s">
        <v>186</v>
      </c>
      <c r="Y149" s="2" t="s">
        <v>27</v>
      </c>
      <c r="Z149" s="2" t="s">
        <v>82</v>
      </c>
      <c r="AA149" s="23">
        <v>39</v>
      </c>
      <c r="AB149" s="23">
        <v>10</v>
      </c>
      <c r="AC149" s="24">
        <v>0.256410256410256</v>
      </c>
      <c r="AD149" s="14" t="str">
        <f>VLOOKUP(flu_eth_ep[[#This Row],[trust_code]],trust_lookup[],3,0)</f>
        <v>Whittington</v>
      </c>
      <c r="AE149" s="14" t="str">
        <f>VLOOKUP(flu_eth_ep[[#This Row],[trust_code]],trust_lookup[],4,0)</f>
        <v>Acute &amp; Community</v>
      </c>
    </row>
    <row r="150" spans="2:31" x14ac:dyDescent="0.35">
      <c r="B150" s="2" t="s">
        <v>378</v>
      </c>
      <c r="C150" s="2" t="s">
        <v>379</v>
      </c>
      <c r="D150" s="2" t="s">
        <v>345</v>
      </c>
      <c r="E150" s="2" t="s">
        <v>24</v>
      </c>
      <c r="F150" s="23">
        <v>4150</v>
      </c>
      <c r="G150" s="23">
        <v>1650</v>
      </c>
      <c r="H150" s="24">
        <v>0.39759036144578302</v>
      </c>
      <c r="I150" s="24">
        <v>0.38455792299999902</v>
      </c>
      <c r="J150" s="58">
        <v>2243</v>
      </c>
      <c r="K150" s="58">
        <v>1048</v>
      </c>
      <c r="L150" s="24">
        <v>0.46723138653588903</v>
      </c>
      <c r="N150" s="2" t="s">
        <v>101</v>
      </c>
      <c r="O150" s="2" t="s">
        <v>102</v>
      </c>
      <c r="P150" s="2" t="s">
        <v>192</v>
      </c>
      <c r="Q150" s="2" t="s">
        <v>60</v>
      </c>
      <c r="R150" s="23">
        <v>715</v>
      </c>
      <c r="S150" s="23">
        <v>298</v>
      </c>
      <c r="T150" s="2">
        <v>0.416783216783216</v>
      </c>
      <c r="U150" s="14" t="str">
        <f>VLOOKUP(flu_staff[[#This Row],[trust_code]],trust_lookup[],3,0)</f>
        <v>Imperial</v>
      </c>
      <c r="W150" s="2" t="s">
        <v>185</v>
      </c>
      <c r="X150" s="2" t="s">
        <v>186</v>
      </c>
      <c r="Y150" s="2" t="s">
        <v>27</v>
      </c>
      <c r="Z150" s="2" t="s">
        <v>100</v>
      </c>
      <c r="AA150" s="23">
        <v>412</v>
      </c>
      <c r="AB150" s="23">
        <v>94</v>
      </c>
      <c r="AC150" s="24">
        <v>0.228155339805825</v>
      </c>
      <c r="AD150" s="14" t="str">
        <f>VLOOKUP(flu_eth_ep[[#This Row],[trust_code]],trust_lookup[],3,0)</f>
        <v>Whittington</v>
      </c>
      <c r="AE150" s="14" t="str">
        <f>VLOOKUP(flu_eth_ep[[#This Row],[trust_code]],trust_lookup[],4,0)</f>
        <v>Acute &amp; Community</v>
      </c>
    </row>
    <row r="151" spans="2:31" x14ac:dyDescent="0.35">
      <c r="B151" s="2" t="s">
        <v>380</v>
      </c>
      <c r="C151" s="2" t="s">
        <v>381</v>
      </c>
      <c r="D151" s="2" t="s">
        <v>345</v>
      </c>
      <c r="E151" s="2" t="s">
        <v>24</v>
      </c>
      <c r="F151" s="23">
        <v>19682</v>
      </c>
      <c r="G151" s="23">
        <v>9369</v>
      </c>
      <c r="H151" s="24">
        <v>0.47601869728686103</v>
      </c>
      <c r="I151" s="24">
        <v>0.46142892599999902</v>
      </c>
      <c r="J151" s="58">
        <v>5389</v>
      </c>
      <c r="K151" s="58">
        <v>2444</v>
      </c>
      <c r="L151" s="24">
        <v>0.453516422341807</v>
      </c>
      <c r="N151" s="2" t="s">
        <v>101</v>
      </c>
      <c r="O151" s="2" t="s">
        <v>102</v>
      </c>
      <c r="P151" s="2" t="s">
        <v>192</v>
      </c>
      <c r="Q151" s="2" t="s">
        <v>46</v>
      </c>
      <c r="R151" s="23">
        <v>22</v>
      </c>
      <c r="S151" s="23">
        <v>6</v>
      </c>
      <c r="T151" s="2">
        <v>0.27272727272727199</v>
      </c>
      <c r="U151" s="14" t="str">
        <f>VLOOKUP(flu_staff[[#This Row],[trust_code]],trust_lookup[],3,0)</f>
        <v>Imperial</v>
      </c>
      <c r="W151" s="2" t="s">
        <v>185</v>
      </c>
      <c r="X151" s="2" t="s">
        <v>186</v>
      </c>
      <c r="Y151" s="2" t="s">
        <v>27</v>
      </c>
      <c r="Z151" s="2" t="s">
        <v>47</v>
      </c>
      <c r="AA151" s="23">
        <v>38</v>
      </c>
      <c r="AB151" s="23">
        <v>6</v>
      </c>
      <c r="AC151" s="24">
        <v>0.157894736842105</v>
      </c>
      <c r="AD151" s="14" t="str">
        <f>VLOOKUP(flu_eth_ep[[#This Row],[trust_code]],trust_lookup[],3,0)</f>
        <v>Whittington</v>
      </c>
      <c r="AE151" s="14" t="str">
        <f>VLOOKUP(flu_eth_ep[[#This Row],[trust_code]],trust_lookup[],4,0)</f>
        <v>Acute &amp; Community</v>
      </c>
    </row>
    <row r="152" spans="2:31" x14ac:dyDescent="0.35">
      <c r="B152" s="2" t="s">
        <v>382</v>
      </c>
      <c r="C152" s="2" t="s">
        <v>383</v>
      </c>
      <c r="D152" s="2" t="s">
        <v>345</v>
      </c>
      <c r="E152" s="2" t="s">
        <v>24</v>
      </c>
      <c r="F152" s="23">
        <v>4826</v>
      </c>
      <c r="G152" s="23">
        <v>1961</v>
      </c>
      <c r="H152" s="24">
        <v>0.406340654786572</v>
      </c>
      <c r="I152" s="24">
        <v>0.40673868299999999</v>
      </c>
      <c r="J152" s="58">
        <v>2750</v>
      </c>
      <c r="K152" s="58">
        <v>1232</v>
      </c>
      <c r="L152" s="24">
        <v>0.44800000000000001</v>
      </c>
      <c r="N152" s="2" t="s">
        <v>101</v>
      </c>
      <c r="O152" s="2" t="s">
        <v>102</v>
      </c>
      <c r="P152" s="2" t="s">
        <v>192</v>
      </c>
      <c r="Q152" s="2" t="s">
        <v>67</v>
      </c>
      <c r="R152" s="23">
        <v>237</v>
      </c>
      <c r="S152" s="23">
        <v>90</v>
      </c>
      <c r="T152" s="2">
        <v>0.379746835443038</v>
      </c>
      <c r="U152" s="14" t="str">
        <f>VLOOKUP(flu_staff[[#This Row],[trust_code]],trust_lookup[],3,0)</f>
        <v>Imperial</v>
      </c>
      <c r="W152" s="2" t="s">
        <v>185</v>
      </c>
      <c r="X152" s="2" t="s">
        <v>186</v>
      </c>
      <c r="Y152" s="2" t="s">
        <v>27</v>
      </c>
      <c r="Z152" s="2" t="s">
        <v>106</v>
      </c>
      <c r="AA152" s="23">
        <v>28</v>
      </c>
      <c r="AB152" s="23">
        <v>13</v>
      </c>
      <c r="AC152" s="24">
        <v>0.46428571428571402</v>
      </c>
      <c r="AD152" s="14" t="str">
        <f>VLOOKUP(flu_eth_ep[[#This Row],[trust_code]],trust_lookup[],3,0)</f>
        <v>Whittington</v>
      </c>
      <c r="AE152" s="14" t="str">
        <f>VLOOKUP(flu_eth_ep[[#This Row],[trust_code]],trust_lookup[],4,0)</f>
        <v>Acute &amp; Community</v>
      </c>
    </row>
    <row r="153" spans="2:31" x14ac:dyDescent="0.35">
      <c r="B153" s="2" t="s">
        <v>384</v>
      </c>
      <c r="C153" s="2" t="s">
        <v>385</v>
      </c>
      <c r="D153" s="2" t="s">
        <v>345</v>
      </c>
      <c r="E153" s="2" t="s">
        <v>24</v>
      </c>
      <c r="F153" s="23">
        <v>14678</v>
      </c>
      <c r="G153" s="23">
        <v>6661</v>
      </c>
      <c r="H153" s="24">
        <v>0.45380842076577099</v>
      </c>
      <c r="I153" s="24">
        <v>0.39105425700000002</v>
      </c>
      <c r="J153" s="58">
        <v>3617</v>
      </c>
      <c r="K153" s="58">
        <v>1566</v>
      </c>
      <c r="L153" s="24">
        <v>0.43295548797345801</v>
      </c>
      <c r="N153" s="2" t="s">
        <v>124</v>
      </c>
      <c r="O153" s="2" t="s">
        <v>125</v>
      </c>
      <c r="P153" s="2" t="s">
        <v>192</v>
      </c>
      <c r="Q153" s="2" t="s">
        <v>53</v>
      </c>
      <c r="R153" s="23">
        <v>23</v>
      </c>
      <c r="S153" s="23">
        <v>9</v>
      </c>
      <c r="T153" s="2">
        <v>0.39130434782608697</v>
      </c>
      <c r="U153" s="14" t="str">
        <f>VLOOKUP(flu_staff[[#This Row],[trust_code]],trust_lookup[],3,0)</f>
        <v>LAS</v>
      </c>
      <c r="W153" s="2" t="s">
        <v>185</v>
      </c>
      <c r="X153" s="2" t="s">
        <v>186</v>
      </c>
      <c r="Y153" s="2" t="s">
        <v>27</v>
      </c>
      <c r="Z153" s="2" t="s">
        <v>129</v>
      </c>
      <c r="AA153" s="23">
        <v>21</v>
      </c>
      <c r="AB153" s="23">
        <v>6</v>
      </c>
      <c r="AC153" s="24">
        <v>0.28571428571428498</v>
      </c>
      <c r="AD153" s="14" t="str">
        <f>VLOOKUP(flu_eth_ep[[#This Row],[trust_code]],trust_lookup[],3,0)</f>
        <v>Whittington</v>
      </c>
      <c r="AE153" s="14" t="str">
        <f>VLOOKUP(flu_eth_ep[[#This Row],[trust_code]],trust_lookup[],4,0)</f>
        <v>Acute &amp; Community</v>
      </c>
    </row>
    <row r="154" spans="2:31" x14ac:dyDescent="0.35">
      <c r="B154" s="2" t="s">
        <v>386</v>
      </c>
      <c r="C154" s="2" t="s">
        <v>387</v>
      </c>
      <c r="D154" s="2" t="s">
        <v>345</v>
      </c>
      <c r="E154" s="2" t="s">
        <v>24</v>
      </c>
      <c r="F154" s="23">
        <v>3748</v>
      </c>
      <c r="G154" s="23">
        <v>1616</v>
      </c>
      <c r="H154" s="24">
        <v>0.43116328708644602</v>
      </c>
      <c r="I154" s="24">
        <v>0.40290747599999999</v>
      </c>
      <c r="J154" s="58">
        <v>814</v>
      </c>
      <c r="K154" s="58">
        <v>391</v>
      </c>
      <c r="L154" s="24">
        <v>0.48034398034398001</v>
      </c>
      <c r="N154" s="2" t="s">
        <v>124</v>
      </c>
      <c r="O154" s="2" t="s">
        <v>125</v>
      </c>
      <c r="P154" s="2" t="s">
        <v>192</v>
      </c>
      <c r="Q154" s="2" t="s">
        <v>81</v>
      </c>
      <c r="R154" s="23">
        <v>1385</v>
      </c>
      <c r="S154" s="23">
        <v>643</v>
      </c>
      <c r="T154" s="2">
        <v>0.46425992779783298</v>
      </c>
      <c r="U154" s="14" t="str">
        <f>VLOOKUP(flu_staff[[#This Row],[trust_code]],trust_lookup[],3,0)</f>
        <v>LAS</v>
      </c>
      <c r="W154" s="2" t="s">
        <v>185</v>
      </c>
      <c r="X154" s="2" t="s">
        <v>186</v>
      </c>
      <c r="Y154" s="2" t="s">
        <v>27</v>
      </c>
      <c r="Z154" s="2" t="s">
        <v>29</v>
      </c>
      <c r="AA154" s="23">
        <v>53</v>
      </c>
      <c r="AB154" s="23">
        <v>17</v>
      </c>
      <c r="AC154" s="24">
        <v>0.320754716981132</v>
      </c>
      <c r="AD154" s="14" t="str">
        <f>VLOOKUP(flu_eth_ep[[#This Row],[trust_code]],trust_lookup[],3,0)</f>
        <v>Whittington</v>
      </c>
      <c r="AE154" s="14" t="str">
        <f>VLOOKUP(flu_eth_ep[[#This Row],[trust_code]],trust_lookup[],4,0)</f>
        <v>Acute &amp; Community</v>
      </c>
    </row>
    <row r="155" spans="2:31" x14ac:dyDescent="0.35">
      <c r="B155" s="2" t="s">
        <v>388</v>
      </c>
      <c r="C155" s="2" t="s">
        <v>389</v>
      </c>
      <c r="D155" s="2" t="s">
        <v>345</v>
      </c>
      <c r="E155" s="2" t="s">
        <v>24</v>
      </c>
      <c r="F155" s="23">
        <v>4403</v>
      </c>
      <c r="G155" s="23">
        <v>2136</v>
      </c>
      <c r="H155" s="24">
        <v>0.48512377924142602</v>
      </c>
      <c r="I155" s="24">
        <v>0.41579015899999999</v>
      </c>
      <c r="J155" s="58">
        <v>1620</v>
      </c>
      <c r="K155" s="58">
        <v>829</v>
      </c>
      <c r="L155" s="24">
        <v>0.51172839506172796</v>
      </c>
      <c r="N155" s="2" t="s">
        <v>124</v>
      </c>
      <c r="O155" s="2" t="s">
        <v>125</v>
      </c>
      <c r="P155" s="2" t="s">
        <v>192</v>
      </c>
      <c r="Q155" s="2" t="s">
        <v>60</v>
      </c>
      <c r="R155" s="23">
        <v>2247</v>
      </c>
      <c r="S155" s="23">
        <v>1171</v>
      </c>
      <c r="T155" s="2">
        <v>0.52113929684023097</v>
      </c>
      <c r="U155" s="14" t="str">
        <f>VLOOKUP(flu_staff[[#This Row],[trust_code]],trust_lookup[],3,0)</f>
        <v>LAS</v>
      </c>
      <c r="W155" s="2" t="s">
        <v>185</v>
      </c>
      <c r="X155" s="2" t="s">
        <v>186</v>
      </c>
      <c r="Y155" s="2" t="s">
        <v>27</v>
      </c>
      <c r="Z155" s="2" t="s">
        <v>61</v>
      </c>
      <c r="AA155" s="23">
        <v>127</v>
      </c>
      <c r="AB155" s="23">
        <v>21</v>
      </c>
      <c r="AC155" s="24">
        <v>0.16535433070866101</v>
      </c>
      <c r="AD155" s="14" t="str">
        <f>VLOOKUP(flu_eth_ep[[#This Row],[trust_code]],trust_lookup[],3,0)</f>
        <v>Whittington</v>
      </c>
      <c r="AE155" s="14" t="str">
        <f>VLOOKUP(flu_eth_ep[[#This Row],[trust_code]],trust_lookup[],4,0)</f>
        <v>Acute &amp; Community</v>
      </c>
    </row>
    <row r="156" spans="2:31" x14ac:dyDescent="0.35">
      <c r="B156" s="2" t="s">
        <v>390</v>
      </c>
      <c r="C156" s="2" t="s">
        <v>391</v>
      </c>
      <c r="D156" s="2" t="s">
        <v>345</v>
      </c>
      <c r="E156" s="2" t="s">
        <v>24</v>
      </c>
      <c r="F156" s="23">
        <v>3618</v>
      </c>
      <c r="G156" s="23">
        <v>1536</v>
      </c>
      <c r="H156" s="24">
        <v>0.42454394693200598</v>
      </c>
      <c r="I156" s="24">
        <v>0.40586481099999999</v>
      </c>
      <c r="J156" s="58">
        <v>825</v>
      </c>
      <c r="K156" s="58">
        <v>396</v>
      </c>
      <c r="L156" s="24">
        <v>0.48</v>
      </c>
      <c r="N156" s="2" t="s">
        <v>124</v>
      </c>
      <c r="O156" s="2" t="s">
        <v>125</v>
      </c>
      <c r="P156" s="2" t="s">
        <v>192</v>
      </c>
      <c r="Q156" s="2" t="s">
        <v>28</v>
      </c>
      <c r="R156" s="23">
        <v>0</v>
      </c>
      <c r="S156" s="23">
        <v>0</v>
      </c>
      <c r="U156" s="14" t="str">
        <f>VLOOKUP(flu_staff[[#This Row],[trust_code]],trust_lookup[],3,0)</f>
        <v>LAS</v>
      </c>
      <c r="W156" s="2" t="s">
        <v>185</v>
      </c>
      <c r="X156" s="2" t="s">
        <v>186</v>
      </c>
      <c r="Y156" s="2" t="s">
        <v>27</v>
      </c>
      <c r="Z156" s="2" t="s">
        <v>36</v>
      </c>
      <c r="AA156" s="23">
        <v>227</v>
      </c>
      <c r="AB156" s="23">
        <v>94</v>
      </c>
      <c r="AC156" s="24">
        <v>0.41409691629955903</v>
      </c>
      <c r="AD156" s="14" t="str">
        <f>VLOOKUP(flu_eth_ep[[#This Row],[trust_code]],trust_lookup[],3,0)</f>
        <v>Whittington</v>
      </c>
      <c r="AE156" s="14" t="str">
        <f>VLOOKUP(flu_eth_ep[[#This Row],[trust_code]],trust_lookup[],4,0)</f>
        <v>Acute &amp; Community</v>
      </c>
    </row>
    <row r="157" spans="2:31" x14ac:dyDescent="0.35">
      <c r="B157" s="2" t="s">
        <v>392</v>
      </c>
      <c r="C157" s="2" t="s">
        <v>393</v>
      </c>
      <c r="D157" s="2" t="s">
        <v>345</v>
      </c>
      <c r="E157" s="2" t="s">
        <v>24</v>
      </c>
      <c r="F157" s="23">
        <v>3026</v>
      </c>
      <c r="G157" s="23">
        <v>1624</v>
      </c>
      <c r="H157" s="24">
        <v>0.53668208856576305</v>
      </c>
      <c r="I157" s="24">
        <v>0.54392871099999995</v>
      </c>
      <c r="J157" s="58">
        <v>1264</v>
      </c>
      <c r="K157" s="58">
        <v>653</v>
      </c>
      <c r="L157" s="24">
        <v>0.516613924050632</v>
      </c>
      <c r="N157" s="2" t="s">
        <v>124</v>
      </c>
      <c r="O157" s="2" t="s">
        <v>125</v>
      </c>
      <c r="P157" s="2" t="s">
        <v>192</v>
      </c>
      <c r="Q157" s="2" t="s">
        <v>46</v>
      </c>
      <c r="R157" s="23">
        <v>47</v>
      </c>
      <c r="S157" s="23">
        <v>26</v>
      </c>
      <c r="T157" s="2">
        <v>0.55319148936170204</v>
      </c>
      <c r="U157" s="14" t="str">
        <f>VLOOKUP(flu_staff[[#This Row],[trust_code]],trust_lookup[],3,0)</f>
        <v>LAS</v>
      </c>
      <c r="W157" s="2" t="s">
        <v>185</v>
      </c>
      <c r="X157" s="2" t="s">
        <v>186</v>
      </c>
      <c r="Y157" s="2" t="s">
        <v>27</v>
      </c>
      <c r="Z157" s="2" t="s">
        <v>135</v>
      </c>
      <c r="AA157" s="23">
        <v>59</v>
      </c>
      <c r="AB157" s="23">
        <v>41</v>
      </c>
      <c r="AC157" s="24">
        <v>0.69491525423728795</v>
      </c>
      <c r="AD157" s="14" t="str">
        <f>VLOOKUP(flu_eth_ep[[#This Row],[trust_code]],trust_lookup[],3,0)</f>
        <v>Whittington</v>
      </c>
      <c r="AE157" s="14" t="str">
        <f>VLOOKUP(flu_eth_ep[[#This Row],[trust_code]],trust_lookup[],4,0)</f>
        <v>Acute &amp; Community</v>
      </c>
    </row>
    <row r="158" spans="2:31" x14ac:dyDescent="0.35">
      <c r="B158" s="2" t="s">
        <v>394</v>
      </c>
      <c r="C158" s="2" t="s">
        <v>618</v>
      </c>
      <c r="D158" s="2" t="s">
        <v>345</v>
      </c>
      <c r="E158" s="2" t="s">
        <v>24</v>
      </c>
      <c r="F158" s="23">
        <v>5247</v>
      </c>
      <c r="G158" s="23">
        <v>2130</v>
      </c>
      <c r="H158" s="24">
        <v>0.40594625500285803</v>
      </c>
      <c r="I158" s="24">
        <v>0.40264287100000001</v>
      </c>
      <c r="J158" s="58">
        <v>1313</v>
      </c>
      <c r="K158" s="58">
        <v>597</v>
      </c>
      <c r="L158" s="24">
        <v>0.45468392993145401</v>
      </c>
      <c r="N158" s="2" t="s">
        <v>124</v>
      </c>
      <c r="O158" s="2" t="s">
        <v>125</v>
      </c>
      <c r="P158" s="2" t="s">
        <v>192</v>
      </c>
      <c r="Q158" s="2" t="s">
        <v>42</v>
      </c>
      <c r="R158" s="23">
        <v>4</v>
      </c>
      <c r="S158" s="23">
        <v>3</v>
      </c>
      <c r="T158" s="2">
        <v>0.75</v>
      </c>
      <c r="U158" s="14" t="str">
        <f>VLOOKUP(flu_staff[[#This Row],[trust_code]],trust_lookup[],3,0)</f>
        <v>LAS</v>
      </c>
      <c r="W158" s="2" t="s">
        <v>185</v>
      </c>
      <c r="X158" s="2" t="s">
        <v>186</v>
      </c>
      <c r="Y158" s="2" t="s">
        <v>27</v>
      </c>
      <c r="Z158" s="2" t="s">
        <v>88</v>
      </c>
      <c r="AA158" s="23">
        <v>34</v>
      </c>
      <c r="AB158" s="23">
        <v>10</v>
      </c>
      <c r="AC158" s="24">
        <v>0.29411764705882298</v>
      </c>
      <c r="AD158" s="14" t="str">
        <f>VLOOKUP(flu_eth_ep[[#This Row],[trust_code]],trust_lookup[],3,0)</f>
        <v>Whittington</v>
      </c>
      <c r="AE158" s="14" t="str">
        <f>VLOOKUP(flu_eth_ep[[#This Row],[trust_code]],trust_lookup[],4,0)</f>
        <v>Acute &amp; Community</v>
      </c>
    </row>
    <row r="159" spans="2:31" x14ac:dyDescent="0.35">
      <c r="B159" s="2" t="s">
        <v>395</v>
      </c>
      <c r="C159" s="2" t="s">
        <v>396</v>
      </c>
      <c r="D159" s="2" t="s">
        <v>345</v>
      </c>
      <c r="E159" s="2" t="s">
        <v>24</v>
      </c>
      <c r="F159" s="23">
        <v>6253</v>
      </c>
      <c r="G159" s="23">
        <v>2763</v>
      </c>
      <c r="H159" s="24">
        <v>0.441867903406364</v>
      </c>
      <c r="I159" s="24">
        <v>0.420531551</v>
      </c>
      <c r="J159" s="58">
        <v>1118</v>
      </c>
      <c r="K159" s="58">
        <v>562</v>
      </c>
      <c r="L159" s="24">
        <v>0.50268336314847895</v>
      </c>
      <c r="N159" s="2" t="s">
        <v>124</v>
      </c>
      <c r="O159" s="2" t="s">
        <v>125</v>
      </c>
      <c r="P159" s="2" t="s">
        <v>192</v>
      </c>
      <c r="Q159" s="2" t="s">
        <v>67</v>
      </c>
      <c r="R159" s="23">
        <v>0</v>
      </c>
      <c r="S159" s="23">
        <v>0</v>
      </c>
      <c r="U159" s="14" t="str">
        <f>VLOOKUP(flu_staff[[#This Row],[trust_code]],trust_lookup[],3,0)</f>
        <v>LAS</v>
      </c>
      <c r="W159" s="2" t="s">
        <v>185</v>
      </c>
      <c r="X159" s="2" t="s">
        <v>186</v>
      </c>
      <c r="Y159" s="2" t="s">
        <v>27</v>
      </c>
      <c r="Z159" s="2" t="s">
        <v>123</v>
      </c>
      <c r="AA159" s="23">
        <v>217</v>
      </c>
      <c r="AB159" s="23">
        <v>84</v>
      </c>
      <c r="AC159" s="24">
        <v>0.38709677419354799</v>
      </c>
      <c r="AD159" s="14" t="str">
        <f>VLOOKUP(flu_eth_ep[[#This Row],[trust_code]],trust_lookup[],3,0)</f>
        <v>Whittington</v>
      </c>
      <c r="AE159" s="14" t="str">
        <f>VLOOKUP(flu_eth_ep[[#This Row],[trust_code]],trust_lookup[],4,0)</f>
        <v>Acute &amp; Community</v>
      </c>
    </row>
    <row r="160" spans="2:31" x14ac:dyDescent="0.35">
      <c r="B160" s="2" t="s">
        <v>397</v>
      </c>
      <c r="C160" s="2" t="s">
        <v>398</v>
      </c>
      <c r="D160" s="2" t="s">
        <v>345</v>
      </c>
      <c r="E160" s="2" t="s">
        <v>24</v>
      </c>
      <c r="F160" s="23">
        <v>8509</v>
      </c>
      <c r="G160" s="23">
        <v>3239</v>
      </c>
      <c r="H160" s="24">
        <v>0.38065577623692498</v>
      </c>
      <c r="I160" s="24">
        <v>0.37879105499999999</v>
      </c>
      <c r="J160" s="58">
        <v>4740</v>
      </c>
      <c r="K160" s="58">
        <v>1841</v>
      </c>
      <c r="L160" s="24">
        <v>0.388396624472573</v>
      </c>
      <c r="N160" s="2" t="s">
        <v>130</v>
      </c>
      <c r="O160" s="2" t="s">
        <v>131</v>
      </c>
      <c r="P160" s="2" t="s">
        <v>192</v>
      </c>
      <c r="Q160" s="2" t="s">
        <v>28</v>
      </c>
      <c r="R160" s="23">
        <v>66</v>
      </c>
      <c r="S160" s="23">
        <v>20</v>
      </c>
      <c r="T160" s="2">
        <v>0.30303030303030298</v>
      </c>
      <c r="U160" s="14" t="str">
        <f>VLOOKUP(flu_staff[[#This Row],[trust_code]],trust_lookup[],3,0)</f>
        <v>LNW</v>
      </c>
      <c r="W160" s="2" t="s">
        <v>185</v>
      </c>
      <c r="X160" s="2" t="s">
        <v>186</v>
      </c>
      <c r="Y160" s="2" t="s">
        <v>27</v>
      </c>
      <c r="Z160" s="2" t="s">
        <v>112</v>
      </c>
      <c r="AA160" s="23">
        <v>207</v>
      </c>
      <c r="AB160" s="23">
        <v>79</v>
      </c>
      <c r="AC160" s="24">
        <v>0.38164251207729399</v>
      </c>
      <c r="AD160" s="14" t="str">
        <f>VLOOKUP(flu_eth_ep[[#This Row],[trust_code]],trust_lookup[],3,0)</f>
        <v>Whittington</v>
      </c>
      <c r="AE160" s="14" t="str">
        <f>VLOOKUP(flu_eth_ep[[#This Row],[trust_code]],trust_lookup[],4,0)</f>
        <v>Acute &amp; Community</v>
      </c>
    </row>
    <row r="161" spans="2:31" x14ac:dyDescent="0.35">
      <c r="B161" s="2" t="s">
        <v>399</v>
      </c>
      <c r="C161" s="2" t="s">
        <v>400</v>
      </c>
      <c r="D161" s="2" t="s">
        <v>345</v>
      </c>
      <c r="E161" s="2" t="s">
        <v>24</v>
      </c>
      <c r="F161" s="23">
        <v>6488</v>
      </c>
      <c r="G161" s="23">
        <v>2575</v>
      </c>
      <c r="H161" s="24">
        <v>0.39688655980271198</v>
      </c>
      <c r="I161" s="24">
        <v>0.37464898599999902</v>
      </c>
      <c r="J161" s="58">
        <v>1227</v>
      </c>
      <c r="K161" s="58">
        <v>545</v>
      </c>
      <c r="L161" s="24">
        <v>0.44417277913610398</v>
      </c>
      <c r="N161" s="2" t="s">
        <v>130</v>
      </c>
      <c r="O161" s="2" t="s">
        <v>131</v>
      </c>
      <c r="P161" s="2" t="s">
        <v>192</v>
      </c>
      <c r="Q161" s="2" t="s">
        <v>60</v>
      </c>
      <c r="R161" s="23">
        <v>320</v>
      </c>
      <c r="S161" s="23">
        <v>133</v>
      </c>
      <c r="T161" s="2">
        <v>0.41562500000000002</v>
      </c>
      <c r="U161" s="14" t="str">
        <f>VLOOKUP(flu_staff[[#This Row],[trust_code]],trust_lookup[],3,0)</f>
        <v>LNW</v>
      </c>
      <c r="W161" s="2" t="s">
        <v>185</v>
      </c>
      <c r="X161" s="2" t="s">
        <v>186</v>
      </c>
      <c r="Y161" s="2" t="s">
        <v>27</v>
      </c>
      <c r="Z161" s="2" t="s">
        <v>94</v>
      </c>
      <c r="AA161" s="23">
        <v>16</v>
      </c>
      <c r="AB161" s="23">
        <v>7</v>
      </c>
      <c r="AC161" s="24">
        <v>0.4375</v>
      </c>
      <c r="AD161" s="14" t="str">
        <f>VLOOKUP(flu_eth_ep[[#This Row],[trust_code]],trust_lookup[],3,0)</f>
        <v>Whittington</v>
      </c>
      <c r="AE161" s="14" t="str">
        <f>VLOOKUP(flu_eth_ep[[#This Row],[trust_code]],trust_lookup[],4,0)</f>
        <v>Acute &amp; Community</v>
      </c>
    </row>
    <row r="162" spans="2:31" x14ac:dyDescent="0.35">
      <c r="B162" s="2" t="s">
        <v>401</v>
      </c>
      <c r="C162" s="2" t="s">
        <v>402</v>
      </c>
      <c r="D162" s="2" t="s">
        <v>345</v>
      </c>
      <c r="E162" s="2" t="s">
        <v>24</v>
      </c>
      <c r="F162" s="23">
        <v>8333</v>
      </c>
      <c r="G162" s="23">
        <v>4149</v>
      </c>
      <c r="H162" s="24">
        <v>0.49789991599663902</v>
      </c>
      <c r="I162" s="24">
        <v>0.456587943</v>
      </c>
      <c r="J162" s="58">
        <v>377</v>
      </c>
      <c r="K162" s="58">
        <v>148</v>
      </c>
      <c r="L162" s="24">
        <v>0.392572944297082</v>
      </c>
      <c r="N162" s="2" t="s">
        <v>130</v>
      </c>
      <c r="O162" s="2" t="s">
        <v>131</v>
      </c>
      <c r="P162" s="2" t="s">
        <v>192</v>
      </c>
      <c r="Q162" s="2" t="s">
        <v>67</v>
      </c>
      <c r="R162" s="23">
        <v>190</v>
      </c>
      <c r="S162" s="23">
        <v>71</v>
      </c>
      <c r="T162" s="2">
        <v>0.37368421052631501</v>
      </c>
      <c r="U162" s="14" t="str">
        <f>VLOOKUP(flu_staff[[#This Row],[trust_code]],trust_lookup[],3,0)</f>
        <v>LNW</v>
      </c>
      <c r="W162" s="2" t="s">
        <v>185</v>
      </c>
      <c r="X162" s="2" t="s">
        <v>186</v>
      </c>
      <c r="Y162" s="2" t="s">
        <v>27</v>
      </c>
      <c r="Z162" s="2" t="s">
        <v>54</v>
      </c>
      <c r="AA162" s="23">
        <v>380</v>
      </c>
      <c r="AB162" s="23">
        <v>158</v>
      </c>
      <c r="AC162" s="24">
        <v>0.41578947368420999</v>
      </c>
      <c r="AD162" s="14" t="str">
        <f>VLOOKUP(flu_eth_ep[[#This Row],[trust_code]],trust_lookup[],3,0)</f>
        <v>Whittington</v>
      </c>
      <c r="AE162" s="14" t="str">
        <f>VLOOKUP(flu_eth_ep[[#This Row],[trust_code]],trust_lookup[],4,0)</f>
        <v>Acute &amp; Community</v>
      </c>
    </row>
    <row r="163" spans="2:31" x14ac:dyDescent="0.35">
      <c r="B163" s="2" t="s">
        <v>403</v>
      </c>
      <c r="C163" s="2" t="s">
        <v>404</v>
      </c>
      <c r="D163" s="2" t="s">
        <v>345</v>
      </c>
      <c r="E163" s="2" t="s">
        <v>24</v>
      </c>
      <c r="F163" s="23">
        <v>5057</v>
      </c>
      <c r="G163" s="23">
        <v>2941</v>
      </c>
      <c r="H163" s="24">
        <v>0.58157010085030603</v>
      </c>
      <c r="I163" s="24">
        <v>0.57796467600000001</v>
      </c>
      <c r="J163" s="58">
        <v>1046</v>
      </c>
      <c r="K163" s="58">
        <v>618</v>
      </c>
      <c r="L163" s="24">
        <v>0.59082217973231299</v>
      </c>
      <c r="N163" s="2" t="s">
        <v>130</v>
      </c>
      <c r="O163" s="2" t="s">
        <v>131</v>
      </c>
      <c r="P163" s="2" t="s">
        <v>192</v>
      </c>
      <c r="Q163" s="2" t="s">
        <v>81</v>
      </c>
      <c r="R163" s="23">
        <v>550</v>
      </c>
      <c r="S163" s="23">
        <v>160</v>
      </c>
      <c r="T163" s="2">
        <v>0.29090909090909001</v>
      </c>
      <c r="U163" s="14" t="str">
        <f>VLOOKUP(flu_staff[[#This Row],[trust_code]],trust_lookup[],3,0)</f>
        <v>LNW</v>
      </c>
      <c r="W163" s="2" t="s">
        <v>185</v>
      </c>
      <c r="X163" s="2" t="s">
        <v>186</v>
      </c>
      <c r="Y163" s="2" t="s">
        <v>27</v>
      </c>
      <c r="Z163" s="2" t="s">
        <v>75</v>
      </c>
      <c r="AA163" s="23">
        <v>124</v>
      </c>
      <c r="AB163" s="23">
        <v>21</v>
      </c>
      <c r="AC163" s="24">
        <v>0.16935483870967699</v>
      </c>
      <c r="AD163" s="14" t="str">
        <f>VLOOKUP(flu_eth_ep[[#This Row],[trust_code]],trust_lookup[],3,0)</f>
        <v>Whittington</v>
      </c>
      <c r="AE163" s="14" t="str">
        <f>VLOOKUP(flu_eth_ep[[#This Row],[trust_code]],trust_lookup[],4,0)</f>
        <v>Acute &amp; Community</v>
      </c>
    </row>
    <row r="164" spans="2:31" x14ac:dyDescent="0.35">
      <c r="B164" s="2" t="s">
        <v>405</v>
      </c>
      <c r="C164" s="2" t="s">
        <v>406</v>
      </c>
      <c r="D164" s="2" t="s">
        <v>407</v>
      </c>
      <c r="E164" s="2" t="s">
        <v>24</v>
      </c>
      <c r="F164" s="23">
        <v>2557</v>
      </c>
      <c r="G164" s="23">
        <v>1249</v>
      </c>
      <c r="H164" s="24">
        <v>0.48846304262807899</v>
      </c>
      <c r="I164" s="24">
        <v>0.51114369500000001</v>
      </c>
      <c r="J164" s="58">
        <v>2072</v>
      </c>
      <c r="K164" s="58">
        <v>1157</v>
      </c>
      <c r="L164" s="24">
        <v>0.55839768339768303</v>
      </c>
      <c r="N164" s="2" t="s">
        <v>130</v>
      </c>
      <c r="O164" s="2" t="s">
        <v>131</v>
      </c>
      <c r="P164" s="2" t="s">
        <v>192</v>
      </c>
      <c r="Q164" s="2" t="s">
        <v>74</v>
      </c>
      <c r="R164" s="23">
        <v>48</v>
      </c>
      <c r="S164" s="23">
        <v>18</v>
      </c>
      <c r="T164" s="2">
        <v>0.375</v>
      </c>
      <c r="U164" s="14" t="str">
        <f>VLOOKUP(flu_staff[[#This Row],[trust_code]],trust_lookup[],3,0)</f>
        <v>LNW</v>
      </c>
      <c r="W164" s="2" t="s">
        <v>185</v>
      </c>
      <c r="X164" s="2" t="s">
        <v>186</v>
      </c>
      <c r="Y164" s="2" t="s">
        <v>27</v>
      </c>
      <c r="Z164" s="2" t="s">
        <v>141</v>
      </c>
      <c r="AA164" s="23">
        <v>252</v>
      </c>
      <c r="AB164" s="23">
        <v>85</v>
      </c>
      <c r="AC164" s="24">
        <v>0.33730158730158699</v>
      </c>
      <c r="AD164" s="14" t="str">
        <f>VLOOKUP(flu_eth_ep[[#This Row],[trust_code]],trust_lookup[],3,0)</f>
        <v>Whittington</v>
      </c>
      <c r="AE164" s="14" t="str">
        <f>VLOOKUP(flu_eth_ep[[#This Row],[trust_code]],trust_lookup[],4,0)</f>
        <v>Acute &amp; Community</v>
      </c>
    </row>
    <row r="165" spans="2:31" x14ac:dyDescent="0.35">
      <c r="B165" s="2" t="s">
        <v>408</v>
      </c>
      <c r="C165" s="2" t="s">
        <v>409</v>
      </c>
      <c r="D165" s="2" t="s">
        <v>407</v>
      </c>
      <c r="E165" s="2" t="s">
        <v>24</v>
      </c>
      <c r="F165" s="23">
        <v>4631</v>
      </c>
      <c r="G165" s="23">
        <v>2515</v>
      </c>
      <c r="H165" s="24">
        <v>0.54307924854243095</v>
      </c>
      <c r="I165" s="24">
        <v>0.51725583500000005</v>
      </c>
      <c r="J165" s="58">
        <v>1659</v>
      </c>
      <c r="K165" s="58">
        <v>863</v>
      </c>
      <c r="L165" s="24">
        <v>0.52019288728149404</v>
      </c>
      <c r="N165" s="2" t="s">
        <v>130</v>
      </c>
      <c r="O165" s="2" t="s">
        <v>131</v>
      </c>
      <c r="P165" s="2" t="s">
        <v>192</v>
      </c>
      <c r="Q165" s="2" t="s">
        <v>53</v>
      </c>
      <c r="R165" s="23">
        <v>1784</v>
      </c>
      <c r="S165" s="23">
        <v>752</v>
      </c>
      <c r="T165" s="2">
        <v>0.42152466367712998</v>
      </c>
      <c r="U165" s="14" t="str">
        <f>VLOOKUP(flu_staff[[#This Row],[trust_code]],trust_lookup[],3,0)</f>
        <v>LNW</v>
      </c>
      <c r="W165" s="2" t="s">
        <v>185</v>
      </c>
      <c r="X165" s="2" t="s">
        <v>186</v>
      </c>
      <c r="Y165" s="2" t="s">
        <v>27</v>
      </c>
      <c r="Z165" s="2" t="s">
        <v>36</v>
      </c>
      <c r="AA165" s="23">
        <v>1</v>
      </c>
      <c r="AB165" s="23">
        <v>0</v>
      </c>
      <c r="AC165" s="24">
        <v>0</v>
      </c>
      <c r="AD165" s="14" t="str">
        <f>VLOOKUP(flu_eth_ep[[#This Row],[trust_code]],trust_lookup[],3,0)</f>
        <v>Whittington</v>
      </c>
      <c r="AE165" s="14" t="str">
        <f>VLOOKUP(flu_eth_ep[[#This Row],[trust_code]],trust_lookup[],4,0)</f>
        <v>Acute &amp; Community</v>
      </c>
    </row>
    <row r="166" spans="2:31" x14ac:dyDescent="0.35">
      <c r="B166" s="2" t="s">
        <v>410</v>
      </c>
      <c r="C166" s="2" t="s">
        <v>411</v>
      </c>
      <c r="D166" s="2" t="s">
        <v>407</v>
      </c>
      <c r="E166" s="2" t="s">
        <v>24</v>
      </c>
      <c r="F166" s="23">
        <v>5329</v>
      </c>
      <c r="G166" s="23">
        <v>2886</v>
      </c>
      <c r="H166" s="24">
        <v>0.54156502158003295</v>
      </c>
      <c r="I166" s="24">
        <v>0.54057775900000005</v>
      </c>
      <c r="J166" s="58">
        <v>2001</v>
      </c>
      <c r="K166" s="58">
        <v>1012</v>
      </c>
      <c r="L166" s="24">
        <v>0.50574712643678099</v>
      </c>
      <c r="N166" s="2" t="s">
        <v>130</v>
      </c>
      <c r="O166" s="2" t="s">
        <v>131</v>
      </c>
      <c r="P166" s="2" t="s">
        <v>192</v>
      </c>
      <c r="Q166" s="2" t="s">
        <v>46</v>
      </c>
      <c r="R166" s="23">
        <v>61</v>
      </c>
      <c r="S166" s="23">
        <v>17</v>
      </c>
      <c r="T166" s="2">
        <v>0.27868852459016302</v>
      </c>
      <c r="U166" s="14" t="str">
        <f>VLOOKUP(flu_staff[[#This Row],[trust_code]],trust_lookup[],3,0)</f>
        <v>LNW</v>
      </c>
      <c r="W166" s="2" t="s">
        <v>185</v>
      </c>
      <c r="X166" s="2" t="s">
        <v>186</v>
      </c>
      <c r="Y166" s="2" t="s">
        <v>27</v>
      </c>
      <c r="Z166" s="2" t="s">
        <v>68</v>
      </c>
      <c r="AA166" s="23">
        <v>721</v>
      </c>
      <c r="AB166" s="23">
        <v>424</v>
      </c>
      <c r="AC166" s="24">
        <v>0.58807212205270398</v>
      </c>
      <c r="AD166" s="14" t="str">
        <f>VLOOKUP(flu_eth_ep[[#This Row],[trust_code]],trust_lookup[],3,0)</f>
        <v>Whittington</v>
      </c>
      <c r="AE166" s="14" t="str">
        <f>VLOOKUP(flu_eth_ep[[#This Row],[trust_code]],trust_lookup[],4,0)</f>
        <v>Acute &amp; Community</v>
      </c>
    </row>
    <row r="167" spans="2:31" x14ac:dyDescent="0.35">
      <c r="B167" s="2" t="s">
        <v>412</v>
      </c>
      <c r="C167" s="2" t="s">
        <v>413</v>
      </c>
      <c r="D167" s="2" t="s">
        <v>407</v>
      </c>
      <c r="E167" s="2" t="s">
        <v>24</v>
      </c>
      <c r="F167" s="23">
        <v>12040</v>
      </c>
      <c r="G167" s="23">
        <v>6278</v>
      </c>
      <c r="H167" s="24">
        <v>0.52142857142857102</v>
      </c>
      <c r="I167" s="24">
        <v>0.45767205699999902</v>
      </c>
      <c r="J167" s="58">
        <v>2839</v>
      </c>
      <c r="K167" s="58">
        <v>1301</v>
      </c>
      <c r="L167" s="24">
        <v>0.45825995068686098</v>
      </c>
      <c r="N167" s="2" t="s">
        <v>130</v>
      </c>
      <c r="O167" s="2" t="s">
        <v>131</v>
      </c>
      <c r="P167" s="2" t="s">
        <v>192</v>
      </c>
      <c r="Q167" s="2" t="s">
        <v>42</v>
      </c>
      <c r="R167" s="23">
        <v>1210</v>
      </c>
      <c r="S167" s="23">
        <v>616</v>
      </c>
      <c r="T167" s="2">
        <v>0.50909090909090904</v>
      </c>
      <c r="U167" s="14" t="str">
        <f>VLOOKUP(flu_staff[[#This Row],[trust_code]],trust_lookup[],3,0)</f>
        <v>LNW</v>
      </c>
      <c r="W167" s="2" t="s">
        <v>30</v>
      </c>
      <c r="X167" s="2" t="s">
        <v>31</v>
      </c>
      <c r="Y167" s="2" t="s">
        <v>190</v>
      </c>
      <c r="Z167" s="2" t="s">
        <v>106</v>
      </c>
      <c r="AA167" s="23">
        <v>60</v>
      </c>
      <c r="AB167" s="23">
        <v>28</v>
      </c>
      <c r="AC167" s="24">
        <v>0.46666666666666601</v>
      </c>
      <c r="AD167" s="14" t="str">
        <f>VLOOKUP(flu_eth_ep[[#This Row],[trust_code]],trust_lookup[],3,0)</f>
        <v>BHR</v>
      </c>
      <c r="AE167" s="14" t="str">
        <f>VLOOKUP(flu_eth_ep[[#This Row],[trust_code]],trust_lookup[],4,0)</f>
        <v>Acute</v>
      </c>
    </row>
    <row r="168" spans="2:31" x14ac:dyDescent="0.35">
      <c r="B168" s="2" t="s">
        <v>414</v>
      </c>
      <c r="C168" s="2" t="s">
        <v>415</v>
      </c>
      <c r="D168" s="2" t="s">
        <v>407</v>
      </c>
      <c r="E168" s="2" t="s">
        <v>24</v>
      </c>
      <c r="F168" s="23">
        <v>4157</v>
      </c>
      <c r="G168" s="23">
        <v>2249</v>
      </c>
      <c r="H168" s="24">
        <v>0.54101515515997101</v>
      </c>
      <c r="I168" s="24">
        <v>0.53222603599999996</v>
      </c>
      <c r="J168" s="58">
        <v>2093</v>
      </c>
      <c r="K168" s="58">
        <v>1089</v>
      </c>
      <c r="L168" s="24">
        <v>0.52030578117534598</v>
      </c>
      <c r="N168" s="2" t="s">
        <v>130</v>
      </c>
      <c r="O168" s="2" t="s">
        <v>131</v>
      </c>
      <c r="P168" s="2" t="s">
        <v>192</v>
      </c>
      <c r="Q168" s="2" t="s">
        <v>35</v>
      </c>
      <c r="R168" s="23">
        <v>1</v>
      </c>
      <c r="S168" s="23">
        <v>0</v>
      </c>
      <c r="T168" s="2">
        <v>0</v>
      </c>
      <c r="U168" s="14" t="str">
        <f>VLOOKUP(flu_staff[[#This Row],[trust_code]],trust_lookup[],3,0)</f>
        <v>LNW</v>
      </c>
      <c r="W168" s="2" t="s">
        <v>30</v>
      </c>
      <c r="X168" s="2" t="s">
        <v>31</v>
      </c>
      <c r="Y168" s="2" t="s">
        <v>190</v>
      </c>
      <c r="Z168" s="2" t="s">
        <v>36</v>
      </c>
      <c r="AA168" s="23">
        <v>377</v>
      </c>
      <c r="AB168" s="23">
        <v>145</v>
      </c>
      <c r="AC168" s="24">
        <v>0.38461538461538403</v>
      </c>
      <c r="AD168" s="14" t="str">
        <f>VLOOKUP(flu_eth_ep[[#This Row],[trust_code]],trust_lookup[],3,0)</f>
        <v>BHR</v>
      </c>
      <c r="AE168" s="14" t="str">
        <f>VLOOKUP(flu_eth_ep[[#This Row],[trust_code]],trust_lookup[],4,0)</f>
        <v>Acute</v>
      </c>
    </row>
    <row r="169" spans="2:31" x14ac:dyDescent="0.35">
      <c r="B169" s="2" t="s">
        <v>416</v>
      </c>
      <c r="C169" s="2" t="s">
        <v>417</v>
      </c>
      <c r="D169" s="2" t="s">
        <v>407</v>
      </c>
      <c r="E169" s="2" t="s">
        <v>24</v>
      </c>
      <c r="F169" s="23">
        <v>2257</v>
      </c>
      <c r="G169" s="23">
        <v>1188</v>
      </c>
      <c r="H169" s="24">
        <v>0.52636242800177202</v>
      </c>
      <c r="I169" s="24">
        <v>0.49889867799999998</v>
      </c>
      <c r="J169" s="58">
        <v>1500</v>
      </c>
      <c r="K169" s="58">
        <v>832</v>
      </c>
      <c r="L169" s="24">
        <v>0.55466666666666598</v>
      </c>
      <c r="N169" s="2" t="s">
        <v>176</v>
      </c>
      <c r="O169" s="2" t="s">
        <v>177</v>
      </c>
      <c r="P169" s="2" t="s">
        <v>192</v>
      </c>
      <c r="Q169" s="2" t="s">
        <v>28</v>
      </c>
      <c r="R169" s="23">
        <v>329</v>
      </c>
      <c r="S169" s="23">
        <v>134</v>
      </c>
      <c r="T169" s="2">
        <v>0.407294832826747</v>
      </c>
      <c r="U169" s="14" t="str">
        <f>VLOOKUP(flu_staff[[#This Row],[trust_code]],trust_lookup[],3,0)</f>
        <v>Hillingdon</v>
      </c>
      <c r="W169" s="2" t="s">
        <v>30</v>
      </c>
      <c r="X169" s="2" t="s">
        <v>31</v>
      </c>
      <c r="Y169" s="2" t="s">
        <v>190</v>
      </c>
      <c r="Z169" s="2" t="s">
        <v>29</v>
      </c>
      <c r="AA169" s="23">
        <v>93</v>
      </c>
      <c r="AB169" s="23">
        <v>38</v>
      </c>
      <c r="AC169" s="24">
        <v>0.40860215053763399</v>
      </c>
      <c r="AD169" s="14" t="str">
        <f>VLOOKUP(flu_eth_ep[[#This Row],[trust_code]],trust_lookup[],3,0)</f>
        <v>BHR</v>
      </c>
      <c r="AE169" s="14" t="str">
        <f>VLOOKUP(flu_eth_ep[[#This Row],[trust_code]],trust_lookup[],4,0)</f>
        <v>Acute</v>
      </c>
    </row>
    <row r="170" spans="2:31" x14ac:dyDescent="0.35">
      <c r="B170" s="2" t="s">
        <v>418</v>
      </c>
      <c r="C170" s="2" t="s">
        <v>419</v>
      </c>
      <c r="D170" s="2" t="s">
        <v>407</v>
      </c>
      <c r="E170" s="2" t="s">
        <v>24</v>
      </c>
      <c r="F170" s="23">
        <v>9202</v>
      </c>
      <c r="G170" s="23">
        <v>4729</v>
      </c>
      <c r="H170" s="24">
        <v>0.51391001956096505</v>
      </c>
      <c r="I170" s="24">
        <v>0.453846154</v>
      </c>
      <c r="J170" s="58">
        <v>2105</v>
      </c>
      <c r="K170" s="58">
        <v>1110</v>
      </c>
      <c r="L170" s="24">
        <v>0.52731591448931103</v>
      </c>
      <c r="N170" s="2" t="s">
        <v>176</v>
      </c>
      <c r="O170" s="2" t="s">
        <v>177</v>
      </c>
      <c r="P170" s="2" t="s">
        <v>192</v>
      </c>
      <c r="Q170" s="2" t="s">
        <v>81</v>
      </c>
      <c r="R170" s="23">
        <v>557</v>
      </c>
      <c r="S170" s="23">
        <v>170</v>
      </c>
      <c r="T170" s="2">
        <v>0.305206463195691</v>
      </c>
      <c r="U170" s="14" t="str">
        <f>VLOOKUP(flu_staff[[#This Row],[trust_code]],trust_lookup[],3,0)</f>
        <v>Hillingdon</v>
      </c>
      <c r="W170" s="2" t="s">
        <v>30</v>
      </c>
      <c r="X170" s="2" t="s">
        <v>31</v>
      </c>
      <c r="Y170" s="2" t="s">
        <v>190</v>
      </c>
      <c r="Z170" s="2" t="s">
        <v>75</v>
      </c>
      <c r="AA170" s="23">
        <v>264</v>
      </c>
      <c r="AB170" s="23">
        <v>71</v>
      </c>
      <c r="AC170" s="24">
        <v>0.26893939393939298</v>
      </c>
      <c r="AD170" s="14" t="str">
        <f>VLOOKUP(flu_eth_ep[[#This Row],[trust_code]],trust_lookup[],3,0)</f>
        <v>BHR</v>
      </c>
      <c r="AE170" s="14" t="str">
        <f>VLOOKUP(flu_eth_ep[[#This Row],[trust_code]],trust_lookup[],4,0)</f>
        <v>Acute</v>
      </c>
    </row>
    <row r="171" spans="2:31" x14ac:dyDescent="0.35">
      <c r="B171" s="2" t="s">
        <v>420</v>
      </c>
      <c r="C171" s="2" t="s">
        <v>421</v>
      </c>
      <c r="D171" s="2" t="s">
        <v>407</v>
      </c>
      <c r="E171" s="2" t="s">
        <v>24</v>
      </c>
      <c r="F171" s="23">
        <v>8991</v>
      </c>
      <c r="G171" s="23">
        <v>4067</v>
      </c>
      <c r="H171" s="24">
        <v>0.45234123011900701</v>
      </c>
      <c r="I171" s="24">
        <v>0.52516389299999999</v>
      </c>
      <c r="J171" s="58">
        <v>3887</v>
      </c>
      <c r="K171" s="58">
        <v>1820</v>
      </c>
      <c r="L171" s="24">
        <v>0.46822742474916301</v>
      </c>
      <c r="N171" s="2" t="s">
        <v>176</v>
      </c>
      <c r="O171" s="2" t="s">
        <v>177</v>
      </c>
      <c r="P171" s="2" t="s">
        <v>192</v>
      </c>
      <c r="Q171" s="2" t="s">
        <v>74</v>
      </c>
      <c r="R171" s="23">
        <v>30</v>
      </c>
      <c r="S171" s="23">
        <v>12</v>
      </c>
      <c r="T171" s="2">
        <v>0.4</v>
      </c>
      <c r="U171" s="14" t="str">
        <f>VLOOKUP(flu_staff[[#This Row],[trust_code]],trust_lookup[],3,0)</f>
        <v>Hillingdon</v>
      </c>
      <c r="W171" s="2" t="s">
        <v>30</v>
      </c>
      <c r="X171" s="2" t="s">
        <v>31</v>
      </c>
      <c r="Y171" s="2" t="s">
        <v>190</v>
      </c>
      <c r="Z171" s="2" t="s">
        <v>88</v>
      </c>
      <c r="AA171" s="23">
        <v>235</v>
      </c>
      <c r="AB171" s="23">
        <v>73</v>
      </c>
      <c r="AC171" s="24">
        <v>0.31063829787233999</v>
      </c>
      <c r="AD171" s="14" t="str">
        <f>VLOOKUP(flu_eth_ep[[#This Row],[trust_code]],trust_lookup[],3,0)</f>
        <v>BHR</v>
      </c>
      <c r="AE171" s="14" t="str">
        <f>VLOOKUP(flu_eth_ep[[#This Row],[trust_code]],trust_lookup[],4,0)</f>
        <v>Acute</v>
      </c>
    </row>
    <row r="172" spans="2:31" x14ac:dyDescent="0.35">
      <c r="B172" s="2" t="s">
        <v>422</v>
      </c>
      <c r="C172" s="2" t="s">
        <v>423</v>
      </c>
      <c r="D172" s="2" t="s">
        <v>407</v>
      </c>
      <c r="E172" s="2" t="s">
        <v>24</v>
      </c>
      <c r="F172" s="23">
        <v>5259</v>
      </c>
      <c r="G172" s="23">
        <v>3101</v>
      </c>
      <c r="H172" s="24">
        <v>0.58965582810420203</v>
      </c>
      <c r="I172" s="24">
        <v>0.56704853</v>
      </c>
      <c r="J172" s="58">
        <v>3150</v>
      </c>
      <c r="K172" s="58">
        <v>1912</v>
      </c>
      <c r="L172" s="24">
        <v>0.60698412698412696</v>
      </c>
      <c r="N172" s="2" t="s">
        <v>176</v>
      </c>
      <c r="O172" s="2" t="s">
        <v>177</v>
      </c>
      <c r="P172" s="2" t="s">
        <v>192</v>
      </c>
      <c r="Q172" s="2" t="s">
        <v>46</v>
      </c>
      <c r="R172" s="23">
        <v>48</v>
      </c>
      <c r="S172" s="23">
        <v>17</v>
      </c>
      <c r="T172" s="2">
        <v>0.35416666666666602</v>
      </c>
      <c r="U172" s="14" t="str">
        <f>VLOOKUP(flu_staff[[#This Row],[trust_code]],trust_lookup[],3,0)</f>
        <v>Hillingdon</v>
      </c>
      <c r="W172" s="2" t="s">
        <v>30</v>
      </c>
      <c r="X172" s="2" t="s">
        <v>31</v>
      </c>
      <c r="Y172" s="2" t="s">
        <v>190</v>
      </c>
      <c r="Z172" s="2" t="s">
        <v>82</v>
      </c>
      <c r="AA172" s="23">
        <v>296</v>
      </c>
      <c r="AB172" s="23">
        <v>99</v>
      </c>
      <c r="AC172" s="24">
        <v>0.33445945945945899</v>
      </c>
      <c r="AD172" s="14" t="str">
        <f>VLOOKUP(flu_eth_ep[[#This Row],[trust_code]],trust_lookup[],3,0)</f>
        <v>BHR</v>
      </c>
      <c r="AE172" s="14" t="str">
        <f>VLOOKUP(flu_eth_ep[[#This Row],[trust_code]],trust_lookup[],4,0)</f>
        <v>Acute</v>
      </c>
    </row>
    <row r="173" spans="2:31" x14ac:dyDescent="0.35">
      <c r="B173" s="2" t="s">
        <v>424</v>
      </c>
      <c r="C173" s="2" t="s">
        <v>425</v>
      </c>
      <c r="D173" s="2" t="s">
        <v>407</v>
      </c>
      <c r="E173" s="2" t="s">
        <v>24</v>
      </c>
      <c r="F173" s="23">
        <v>1928</v>
      </c>
      <c r="G173" s="23">
        <v>970</v>
      </c>
      <c r="H173" s="24">
        <v>0.50311203319501996</v>
      </c>
      <c r="I173" s="24">
        <v>0.46629185400000001</v>
      </c>
      <c r="J173" s="58">
        <v>560</v>
      </c>
      <c r="K173" s="58">
        <v>276</v>
      </c>
      <c r="L173" s="24">
        <v>0.49285714285714199</v>
      </c>
      <c r="N173" s="2" t="s">
        <v>176</v>
      </c>
      <c r="O173" s="2" t="s">
        <v>177</v>
      </c>
      <c r="P173" s="2" t="s">
        <v>192</v>
      </c>
      <c r="Q173" s="2" t="s">
        <v>67</v>
      </c>
      <c r="R173" s="23">
        <v>91</v>
      </c>
      <c r="S173" s="23">
        <v>26</v>
      </c>
      <c r="T173" s="2">
        <v>0.28571428571428498</v>
      </c>
      <c r="U173" s="14" t="str">
        <f>VLOOKUP(flu_staff[[#This Row],[trust_code]],trust_lookup[],3,0)</f>
        <v>Hillingdon</v>
      </c>
      <c r="W173" s="2" t="s">
        <v>30</v>
      </c>
      <c r="X173" s="2" t="s">
        <v>31</v>
      </c>
      <c r="Y173" s="2" t="s">
        <v>190</v>
      </c>
      <c r="Z173" s="2" t="s">
        <v>54</v>
      </c>
      <c r="AA173" s="23">
        <v>499</v>
      </c>
      <c r="AB173" s="23">
        <v>190</v>
      </c>
      <c r="AC173" s="24">
        <v>0.38076152304609201</v>
      </c>
      <c r="AD173" s="14" t="str">
        <f>VLOOKUP(flu_eth_ep[[#This Row],[trust_code]],trust_lookup[],3,0)</f>
        <v>BHR</v>
      </c>
      <c r="AE173" s="14" t="str">
        <f>VLOOKUP(flu_eth_ep[[#This Row],[trust_code]],trust_lookup[],4,0)</f>
        <v>Acute</v>
      </c>
    </row>
    <row r="174" spans="2:31" x14ac:dyDescent="0.35">
      <c r="B174" s="2" t="s">
        <v>426</v>
      </c>
      <c r="C174" s="2" t="s">
        <v>427</v>
      </c>
      <c r="D174" s="2" t="s">
        <v>407</v>
      </c>
      <c r="E174" s="2" t="s">
        <v>24</v>
      </c>
      <c r="F174" s="23">
        <v>6164</v>
      </c>
      <c r="G174" s="23">
        <v>3630</v>
      </c>
      <c r="H174" s="24">
        <v>0.58890330953925996</v>
      </c>
      <c r="I174" s="24">
        <v>0.57346870800000005</v>
      </c>
      <c r="J174" s="58">
        <v>1363</v>
      </c>
      <c r="K174" s="58">
        <v>786</v>
      </c>
      <c r="L174" s="24">
        <v>0.57666911225238404</v>
      </c>
      <c r="N174" s="2" t="s">
        <v>176</v>
      </c>
      <c r="O174" s="2" t="s">
        <v>177</v>
      </c>
      <c r="P174" s="2" t="s">
        <v>192</v>
      </c>
      <c r="Q174" s="2" t="s">
        <v>60</v>
      </c>
      <c r="R174" s="23">
        <v>248</v>
      </c>
      <c r="S174" s="23">
        <v>78</v>
      </c>
      <c r="T174" s="2">
        <v>0.31451612903225801</v>
      </c>
      <c r="U174" s="14" t="str">
        <f>VLOOKUP(flu_staff[[#This Row],[trust_code]],trust_lookup[],3,0)</f>
        <v>Hillingdon</v>
      </c>
      <c r="W174" s="2" t="s">
        <v>30</v>
      </c>
      <c r="X174" s="2" t="s">
        <v>31</v>
      </c>
      <c r="Y174" s="2" t="s">
        <v>190</v>
      </c>
      <c r="Z174" s="2" t="s">
        <v>123</v>
      </c>
      <c r="AA174" s="23">
        <v>794</v>
      </c>
      <c r="AB174" s="23">
        <v>314</v>
      </c>
      <c r="AC174" s="24">
        <v>0.39546599496221602</v>
      </c>
      <c r="AD174" s="14" t="str">
        <f>VLOOKUP(flu_eth_ep[[#This Row],[trust_code]],trust_lookup[],3,0)</f>
        <v>BHR</v>
      </c>
      <c r="AE174" s="14" t="str">
        <f>VLOOKUP(flu_eth_ep[[#This Row],[trust_code]],trust_lookup[],4,0)</f>
        <v>Acute</v>
      </c>
    </row>
    <row r="175" spans="2:31" x14ac:dyDescent="0.35">
      <c r="B175" s="2" t="s">
        <v>428</v>
      </c>
      <c r="C175" s="2" t="s">
        <v>429</v>
      </c>
      <c r="D175" s="2" t="s">
        <v>407</v>
      </c>
      <c r="E175" s="2" t="s">
        <v>24</v>
      </c>
      <c r="F175" s="23">
        <v>9390</v>
      </c>
      <c r="G175" s="23">
        <v>5726</v>
      </c>
      <c r="H175" s="24">
        <v>0.60979765708200195</v>
      </c>
      <c r="I175" s="24">
        <v>0.58600350199999995</v>
      </c>
      <c r="J175" s="58">
        <v>2364</v>
      </c>
      <c r="K175" s="58">
        <v>1292</v>
      </c>
      <c r="L175" s="24">
        <v>0.54653130287648</v>
      </c>
      <c r="N175" s="2" t="s">
        <v>176</v>
      </c>
      <c r="O175" s="2" t="s">
        <v>177</v>
      </c>
      <c r="P175" s="2" t="s">
        <v>192</v>
      </c>
      <c r="Q175" s="2" t="s">
        <v>42</v>
      </c>
      <c r="R175" s="23">
        <v>681</v>
      </c>
      <c r="S175" s="23">
        <v>269</v>
      </c>
      <c r="T175" s="2">
        <v>0.39500734214390598</v>
      </c>
      <c r="U175" s="14" t="str">
        <f>VLOOKUP(flu_staff[[#This Row],[trust_code]],trust_lookup[],3,0)</f>
        <v>Hillingdon</v>
      </c>
      <c r="W175" s="2" t="s">
        <v>30</v>
      </c>
      <c r="X175" s="2" t="s">
        <v>31</v>
      </c>
      <c r="Y175" s="2" t="s">
        <v>190</v>
      </c>
      <c r="Z175" s="2" t="s">
        <v>36</v>
      </c>
      <c r="AA175" s="23">
        <v>3</v>
      </c>
      <c r="AB175" s="23">
        <v>1</v>
      </c>
      <c r="AC175" s="24">
        <v>0.33333333333333298</v>
      </c>
      <c r="AD175" s="14" t="str">
        <f>VLOOKUP(flu_eth_ep[[#This Row],[trust_code]],trust_lookup[],3,0)</f>
        <v>BHR</v>
      </c>
      <c r="AE175" s="14" t="str">
        <f>VLOOKUP(flu_eth_ep[[#This Row],[trust_code]],trust_lookup[],4,0)</f>
        <v>Acute</v>
      </c>
    </row>
    <row r="176" spans="2:31" x14ac:dyDescent="0.35">
      <c r="B176" s="2" t="s">
        <v>430</v>
      </c>
      <c r="C176" s="2" t="s">
        <v>431</v>
      </c>
      <c r="D176" s="2" t="s">
        <v>407</v>
      </c>
      <c r="E176" s="2" t="s">
        <v>24</v>
      </c>
      <c r="F176" s="23">
        <v>3376</v>
      </c>
      <c r="G176" s="23">
        <v>1746</v>
      </c>
      <c r="H176" s="24">
        <v>0.51718009478672899</v>
      </c>
      <c r="I176" s="24">
        <v>0.48147361999999999</v>
      </c>
      <c r="J176" s="58">
        <v>1552</v>
      </c>
      <c r="K176" s="58">
        <v>795</v>
      </c>
      <c r="L176" s="24">
        <v>0.51224226804123696</v>
      </c>
      <c r="N176" s="2" t="s">
        <v>176</v>
      </c>
      <c r="O176" s="2" t="s">
        <v>177</v>
      </c>
      <c r="P176" s="2" t="s">
        <v>192</v>
      </c>
      <c r="Q176" s="2" t="s">
        <v>53</v>
      </c>
      <c r="R176" s="23">
        <v>1069</v>
      </c>
      <c r="S176" s="23">
        <v>343</v>
      </c>
      <c r="T176" s="2">
        <v>0.320860617399438</v>
      </c>
      <c r="U176" s="14" t="str">
        <f>VLOOKUP(flu_staff[[#This Row],[trust_code]],trust_lookup[],3,0)</f>
        <v>Hillingdon</v>
      </c>
      <c r="W176" s="2" t="s">
        <v>30</v>
      </c>
      <c r="X176" s="2" t="s">
        <v>31</v>
      </c>
      <c r="Y176" s="2" t="s">
        <v>190</v>
      </c>
      <c r="Z176" s="2" t="s">
        <v>112</v>
      </c>
      <c r="AA176" s="23">
        <v>522</v>
      </c>
      <c r="AB176" s="23">
        <v>226</v>
      </c>
      <c r="AC176" s="24">
        <v>0.43295019157088099</v>
      </c>
      <c r="AD176" s="14" t="str">
        <f>VLOOKUP(flu_eth_ep[[#This Row],[trust_code]],trust_lookup[],3,0)</f>
        <v>BHR</v>
      </c>
      <c r="AE176" s="14" t="str">
        <f>VLOOKUP(flu_eth_ep[[#This Row],[trust_code]],trust_lookup[],4,0)</f>
        <v>Acute</v>
      </c>
    </row>
    <row r="177" spans="2:31" x14ac:dyDescent="0.35">
      <c r="B177" s="2" t="s">
        <v>432</v>
      </c>
      <c r="C177" s="2" t="s">
        <v>433</v>
      </c>
      <c r="D177" s="2" t="s">
        <v>407</v>
      </c>
      <c r="E177" s="2" t="s">
        <v>24</v>
      </c>
      <c r="F177" s="23">
        <v>6807</v>
      </c>
      <c r="G177" s="23">
        <v>3621</v>
      </c>
      <c r="H177" s="24">
        <v>0.53195240193918003</v>
      </c>
      <c r="I177" s="24">
        <v>0.45319952599999902</v>
      </c>
      <c r="J177" s="58">
        <v>3170</v>
      </c>
      <c r="K177" s="58">
        <v>1838</v>
      </c>
      <c r="L177" s="24">
        <v>0.57981072555205004</v>
      </c>
      <c r="N177" s="2" t="s">
        <v>176</v>
      </c>
      <c r="O177" s="2" t="s">
        <v>177</v>
      </c>
      <c r="P177" s="2" t="s">
        <v>192</v>
      </c>
      <c r="Q177" s="2" t="s">
        <v>35</v>
      </c>
      <c r="R177" s="23">
        <v>0</v>
      </c>
      <c r="S177" s="23">
        <v>0</v>
      </c>
      <c r="U177" s="14" t="str">
        <f>VLOOKUP(flu_staff[[#This Row],[trust_code]],trust_lookup[],3,0)</f>
        <v>Hillingdon</v>
      </c>
      <c r="W177" s="2" t="s">
        <v>30</v>
      </c>
      <c r="X177" s="2" t="s">
        <v>31</v>
      </c>
      <c r="Y177" s="2" t="s">
        <v>190</v>
      </c>
      <c r="Z177" s="2" t="s">
        <v>94</v>
      </c>
      <c r="AA177" s="23">
        <v>42</v>
      </c>
      <c r="AB177" s="23">
        <v>17</v>
      </c>
      <c r="AC177" s="24">
        <v>0.40476190476190399</v>
      </c>
      <c r="AD177" s="14" t="str">
        <f>VLOOKUP(flu_eth_ep[[#This Row],[trust_code]],trust_lookup[],3,0)</f>
        <v>BHR</v>
      </c>
      <c r="AE177" s="14" t="str">
        <f>VLOOKUP(flu_eth_ep[[#This Row],[trust_code]],trust_lookup[],4,0)</f>
        <v>Acute</v>
      </c>
    </row>
    <row r="178" spans="2:31" x14ac:dyDescent="0.35">
      <c r="B178" s="2" t="s">
        <v>434</v>
      </c>
      <c r="C178" s="2" t="s">
        <v>435</v>
      </c>
      <c r="D178" s="2" t="s">
        <v>407</v>
      </c>
      <c r="E178" s="2" t="s">
        <v>24</v>
      </c>
      <c r="F178" s="23">
        <v>2111</v>
      </c>
      <c r="G178" s="23">
        <v>978</v>
      </c>
      <c r="H178" s="24">
        <v>0.46328754144954998</v>
      </c>
      <c r="I178" s="24">
        <v>0.50903954799999995</v>
      </c>
      <c r="J178" s="58">
        <v>1855</v>
      </c>
      <c r="K178" s="58">
        <v>815</v>
      </c>
      <c r="L178" s="24">
        <v>0.439353099730458</v>
      </c>
      <c r="N178" s="2" t="s">
        <v>187</v>
      </c>
      <c r="O178" s="2" t="s">
        <v>188</v>
      </c>
      <c r="P178" s="2" t="s">
        <v>192</v>
      </c>
      <c r="Q178" s="2" t="s">
        <v>35</v>
      </c>
      <c r="R178" s="23">
        <v>10</v>
      </c>
      <c r="S178" s="23">
        <v>2</v>
      </c>
      <c r="T178" s="2">
        <v>0.2</v>
      </c>
      <c r="U178" s="14" t="str">
        <f>VLOOKUP(flu_staff[[#This Row],[trust_code]],trust_lookup[],3,0)</f>
        <v>West London</v>
      </c>
      <c r="W178" s="2" t="s">
        <v>30</v>
      </c>
      <c r="X178" s="2" t="s">
        <v>31</v>
      </c>
      <c r="Y178" s="2" t="s">
        <v>190</v>
      </c>
      <c r="Z178" s="2" t="s">
        <v>129</v>
      </c>
      <c r="AA178" s="23">
        <v>36</v>
      </c>
      <c r="AB178" s="23">
        <v>14</v>
      </c>
      <c r="AC178" s="24">
        <v>0.38888888888888801</v>
      </c>
      <c r="AD178" s="14" t="str">
        <f>VLOOKUP(flu_eth_ep[[#This Row],[trust_code]],trust_lookup[],3,0)</f>
        <v>BHR</v>
      </c>
      <c r="AE178" s="14" t="str">
        <f>VLOOKUP(flu_eth_ep[[#This Row],[trust_code]],trust_lookup[],4,0)</f>
        <v>Acute</v>
      </c>
    </row>
    <row r="179" spans="2:31" x14ac:dyDescent="0.35">
      <c r="B179" s="2" t="s">
        <v>436</v>
      </c>
      <c r="C179" s="2" t="s">
        <v>437</v>
      </c>
      <c r="D179" s="2" t="s">
        <v>407</v>
      </c>
      <c r="E179" s="2" t="s">
        <v>24</v>
      </c>
      <c r="F179" s="23">
        <v>3698</v>
      </c>
      <c r="G179" s="23">
        <v>1858</v>
      </c>
      <c r="H179" s="24">
        <v>0.50243374797187601</v>
      </c>
      <c r="I179" s="24">
        <v>0.52751060800000005</v>
      </c>
      <c r="J179" s="58">
        <v>1267</v>
      </c>
      <c r="K179" s="58">
        <v>651</v>
      </c>
      <c r="L179" s="24">
        <v>0.51381215469613195</v>
      </c>
      <c r="N179" s="2" t="s">
        <v>187</v>
      </c>
      <c r="O179" s="2" t="s">
        <v>188</v>
      </c>
      <c r="P179" s="2" t="s">
        <v>192</v>
      </c>
      <c r="Q179" s="2" t="s">
        <v>81</v>
      </c>
      <c r="R179" s="23">
        <v>1326</v>
      </c>
      <c r="S179" s="23">
        <v>360</v>
      </c>
      <c r="T179" s="2">
        <v>0.27149321266968302</v>
      </c>
      <c r="U179" s="14" t="str">
        <f>VLOOKUP(flu_staff[[#This Row],[trust_code]],trust_lookup[],3,0)</f>
        <v>West London</v>
      </c>
      <c r="W179" s="2" t="s">
        <v>30</v>
      </c>
      <c r="X179" s="2" t="s">
        <v>31</v>
      </c>
      <c r="Y179" s="2" t="s">
        <v>190</v>
      </c>
      <c r="Z179" s="2" t="s">
        <v>47</v>
      </c>
      <c r="AA179" s="23">
        <v>85</v>
      </c>
      <c r="AB179" s="23">
        <v>20</v>
      </c>
      <c r="AC179" s="24">
        <v>0.23529411764705799</v>
      </c>
      <c r="AD179" s="14" t="str">
        <f>VLOOKUP(flu_eth_ep[[#This Row],[trust_code]],trust_lookup[],3,0)</f>
        <v>BHR</v>
      </c>
      <c r="AE179" s="14" t="str">
        <f>VLOOKUP(flu_eth_ep[[#This Row],[trust_code]],trust_lookup[],4,0)</f>
        <v>Acute</v>
      </c>
    </row>
    <row r="180" spans="2:31" x14ac:dyDescent="0.35">
      <c r="B180" s="2" t="s">
        <v>438</v>
      </c>
      <c r="C180" s="2" t="s">
        <v>439</v>
      </c>
      <c r="D180" s="2" t="s">
        <v>407</v>
      </c>
      <c r="E180" s="2" t="s">
        <v>24</v>
      </c>
      <c r="F180" s="23">
        <v>5999</v>
      </c>
      <c r="G180" s="23">
        <v>3253</v>
      </c>
      <c r="H180" s="24">
        <v>0.54225704284047305</v>
      </c>
      <c r="I180" s="24">
        <v>0.53941887799999999</v>
      </c>
      <c r="J180" s="58">
        <v>1889</v>
      </c>
      <c r="K180" s="58">
        <v>1111</v>
      </c>
      <c r="L180" s="24">
        <v>0.58814187400741103</v>
      </c>
      <c r="N180" s="2" t="s">
        <v>187</v>
      </c>
      <c r="O180" s="2" t="s">
        <v>188</v>
      </c>
      <c r="P180" s="2" t="s">
        <v>192</v>
      </c>
      <c r="Q180" s="2" t="s">
        <v>46</v>
      </c>
      <c r="R180" s="23">
        <v>31</v>
      </c>
      <c r="S180" s="23">
        <v>6</v>
      </c>
      <c r="T180" s="2">
        <v>0.19354838709677399</v>
      </c>
      <c r="U180" s="14" t="str">
        <f>VLOOKUP(flu_staff[[#This Row],[trust_code]],trust_lookup[],3,0)</f>
        <v>West London</v>
      </c>
      <c r="W180" s="2" t="s">
        <v>30</v>
      </c>
      <c r="X180" s="2" t="s">
        <v>31</v>
      </c>
      <c r="Y180" s="2" t="s">
        <v>190</v>
      </c>
      <c r="Z180" s="2" t="s">
        <v>68</v>
      </c>
      <c r="AA180" s="23">
        <v>1520</v>
      </c>
      <c r="AB180" s="23">
        <v>747</v>
      </c>
      <c r="AC180" s="24">
        <v>0.49144736842105202</v>
      </c>
      <c r="AD180" s="14" t="str">
        <f>VLOOKUP(flu_eth_ep[[#This Row],[trust_code]],trust_lookup[],3,0)</f>
        <v>BHR</v>
      </c>
      <c r="AE180" s="14" t="str">
        <f>VLOOKUP(flu_eth_ep[[#This Row],[trust_code]],trust_lookup[],4,0)</f>
        <v>Acute</v>
      </c>
    </row>
    <row r="181" spans="2:31" x14ac:dyDescent="0.35">
      <c r="B181" s="2" t="s">
        <v>440</v>
      </c>
      <c r="C181" s="2" t="s">
        <v>441</v>
      </c>
      <c r="D181" s="2" t="s">
        <v>407</v>
      </c>
      <c r="E181" s="2" t="s">
        <v>24</v>
      </c>
      <c r="F181" s="23">
        <v>4063</v>
      </c>
      <c r="G181" s="23">
        <v>1873</v>
      </c>
      <c r="H181" s="24">
        <v>0.46098941668717602</v>
      </c>
      <c r="I181" s="24">
        <v>0.441617382</v>
      </c>
      <c r="J181" s="58">
        <v>1183</v>
      </c>
      <c r="K181" s="58">
        <v>595</v>
      </c>
      <c r="L181" s="24">
        <v>0.50295857988165604</v>
      </c>
      <c r="N181" s="2" t="s">
        <v>187</v>
      </c>
      <c r="O181" s="2" t="s">
        <v>188</v>
      </c>
      <c r="P181" s="2" t="s">
        <v>192</v>
      </c>
      <c r="Q181" s="2" t="s">
        <v>28</v>
      </c>
      <c r="R181" s="23">
        <v>263</v>
      </c>
      <c r="S181" s="23">
        <v>99</v>
      </c>
      <c r="T181" s="2">
        <v>0.37642585551330798</v>
      </c>
      <c r="U181" s="14" t="str">
        <f>VLOOKUP(flu_staff[[#This Row],[trust_code]],trust_lookup[],3,0)</f>
        <v>West London</v>
      </c>
      <c r="W181" s="2" t="s">
        <v>30</v>
      </c>
      <c r="X181" s="2" t="s">
        <v>31</v>
      </c>
      <c r="Y181" s="2" t="s">
        <v>190</v>
      </c>
      <c r="Z181" s="2" t="s">
        <v>141</v>
      </c>
      <c r="AA181" s="23">
        <v>655</v>
      </c>
      <c r="AB181" s="23">
        <v>311</v>
      </c>
      <c r="AC181" s="24">
        <v>0.47480916030534298</v>
      </c>
      <c r="AD181" s="14" t="str">
        <f>VLOOKUP(flu_eth_ep[[#This Row],[trust_code]],trust_lookup[],3,0)</f>
        <v>BHR</v>
      </c>
      <c r="AE181" s="14" t="str">
        <f>VLOOKUP(flu_eth_ep[[#This Row],[trust_code]],trust_lookup[],4,0)</f>
        <v>Acute</v>
      </c>
    </row>
    <row r="182" spans="2:31" x14ac:dyDescent="0.35">
      <c r="B182" s="2" t="s">
        <v>442</v>
      </c>
      <c r="C182" s="2" t="s">
        <v>443</v>
      </c>
      <c r="D182" s="2" t="s">
        <v>407</v>
      </c>
      <c r="E182" s="2" t="s">
        <v>24</v>
      </c>
      <c r="F182" s="23">
        <v>3976</v>
      </c>
      <c r="G182" s="23">
        <v>1957</v>
      </c>
      <c r="H182" s="24">
        <v>0.492203219315895</v>
      </c>
      <c r="I182" s="24">
        <v>0.20052320899999901</v>
      </c>
      <c r="J182" s="58">
        <v>1186</v>
      </c>
      <c r="K182" s="58">
        <v>614</v>
      </c>
      <c r="L182" s="24">
        <v>0.51770657672849896</v>
      </c>
      <c r="N182" s="2" t="s">
        <v>187</v>
      </c>
      <c r="O182" s="2" t="s">
        <v>188</v>
      </c>
      <c r="P182" s="2" t="s">
        <v>192</v>
      </c>
      <c r="Q182" s="2" t="s">
        <v>60</v>
      </c>
      <c r="R182" s="23">
        <v>391</v>
      </c>
      <c r="S182" s="23">
        <v>162</v>
      </c>
      <c r="T182" s="2">
        <v>0.41432225063938599</v>
      </c>
      <c r="U182" s="14" t="str">
        <f>VLOOKUP(flu_staff[[#This Row],[trust_code]],trust_lookup[],3,0)</f>
        <v>West London</v>
      </c>
      <c r="W182" s="2" t="s">
        <v>30</v>
      </c>
      <c r="X182" s="2" t="s">
        <v>31</v>
      </c>
      <c r="Y182" s="2" t="s">
        <v>190</v>
      </c>
      <c r="Z182" s="2" t="s">
        <v>100</v>
      </c>
      <c r="AA182" s="23">
        <v>1279</v>
      </c>
      <c r="AB182" s="23">
        <v>383</v>
      </c>
      <c r="AC182" s="24">
        <v>0.29945269741985903</v>
      </c>
      <c r="AD182" s="14" t="str">
        <f>VLOOKUP(flu_eth_ep[[#This Row],[trust_code]],trust_lookup[],3,0)</f>
        <v>BHR</v>
      </c>
      <c r="AE182" s="14" t="str">
        <f>VLOOKUP(flu_eth_ep[[#This Row],[trust_code]],trust_lookup[],4,0)</f>
        <v>Acute</v>
      </c>
    </row>
    <row r="183" spans="2:31" x14ac:dyDescent="0.35">
      <c r="B183" s="2" t="s">
        <v>444</v>
      </c>
      <c r="C183" s="2" t="s">
        <v>445</v>
      </c>
      <c r="D183" s="2" t="s">
        <v>407</v>
      </c>
      <c r="E183" s="2" t="s">
        <v>24</v>
      </c>
      <c r="F183" s="23">
        <v>4985</v>
      </c>
      <c r="G183" s="23">
        <v>2536</v>
      </c>
      <c r="H183" s="24">
        <v>0.50872617853560598</v>
      </c>
      <c r="I183" s="24">
        <v>0.47615484699999999</v>
      </c>
      <c r="J183" s="58">
        <v>1529</v>
      </c>
      <c r="K183" s="58">
        <v>801</v>
      </c>
      <c r="L183" s="24">
        <v>0.52387181164159502</v>
      </c>
      <c r="N183" s="2" t="s">
        <v>187</v>
      </c>
      <c r="O183" s="2" t="s">
        <v>188</v>
      </c>
      <c r="P183" s="2" t="s">
        <v>192</v>
      </c>
      <c r="Q183" s="2" t="s">
        <v>53</v>
      </c>
      <c r="R183" s="23">
        <v>1334</v>
      </c>
      <c r="S183" s="23">
        <v>467</v>
      </c>
      <c r="T183" s="2">
        <v>0.35007496251873998</v>
      </c>
      <c r="U183" s="14" t="str">
        <f>VLOOKUP(flu_staff[[#This Row],[trust_code]],trust_lookup[],3,0)</f>
        <v>West London</v>
      </c>
      <c r="W183" s="2" t="s">
        <v>30</v>
      </c>
      <c r="X183" s="2" t="s">
        <v>31</v>
      </c>
      <c r="Y183" s="2" t="s">
        <v>190</v>
      </c>
      <c r="Z183" s="2" t="s">
        <v>61</v>
      </c>
      <c r="AA183" s="23">
        <v>145</v>
      </c>
      <c r="AB183" s="23">
        <v>48</v>
      </c>
      <c r="AC183" s="24">
        <v>0.33103448275862002</v>
      </c>
      <c r="AD183" s="14" t="str">
        <f>VLOOKUP(flu_eth_ep[[#This Row],[trust_code]],trust_lookup[],3,0)</f>
        <v>BHR</v>
      </c>
      <c r="AE183" s="14" t="str">
        <f>VLOOKUP(flu_eth_ep[[#This Row],[trust_code]],trust_lookup[],4,0)</f>
        <v>Acute</v>
      </c>
    </row>
    <row r="184" spans="2:31" x14ac:dyDescent="0.35">
      <c r="B184" s="2" t="s">
        <v>446</v>
      </c>
      <c r="C184" s="2" t="s">
        <v>447</v>
      </c>
      <c r="D184" s="2" t="s">
        <v>407</v>
      </c>
      <c r="E184" s="2" t="s">
        <v>24</v>
      </c>
      <c r="F184" s="23">
        <v>2847</v>
      </c>
      <c r="G184" s="23">
        <v>1767</v>
      </c>
      <c r="H184" s="24">
        <v>0.62065331928345602</v>
      </c>
      <c r="I184" s="24">
        <v>0.17495337599999999</v>
      </c>
      <c r="J184" s="58">
        <v>1494</v>
      </c>
      <c r="K184" s="58">
        <v>726</v>
      </c>
      <c r="L184" s="24">
        <v>0.48594377510040099</v>
      </c>
      <c r="N184" s="2" t="s">
        <v>187</v>
      </c>
      <c r="O184" s="2" t="s">
        <v>188</v>
      </c>
      <c r="P184" s="2" t="s">
        <v>192</v>
      </c>
      <c r="Q184" s="2" t="s">
        <v>67</v>
      </c>
      <c r="R184" s="23">
        <v>583</v>
      </c>
      <c r="S184" s="23">
        <v>227</v>
      </c>
      <c r="T184" s="2">
        <v>0.38936535162950198</v>
      </c>
      <c r="U184" s="14" t="str">
        <f>VLOOKUP(flu_staff[[#This Row],[trust_code]],trust_lookup[],3,0)</f>
        <v>West London</v>
      </c>
      <c r="W184" s="2" t="s">
        <v>30</v>
      </c>
      <c r="X184" s="2" t="s">
        <v>31</v>
      </c>
      <c r="Y184" s="2" t="s">
        <v>190</v>
      </c>
      <c r="Z184" s="2" t="s">
        <v>135</v>
      </c>
      <c r="AA184" s="23">
        <v>62</v>
      </c>
      <c r="AB184" s="23">
        <v>22</v>
      </c>
      <c r="AC184" s="24">
        <v>0.35483870967741898</v>
      </c>
      <c r="AD184" s="14" t="str">
        <f>VLOOKUP(flu_eth_ep[[#This Row],[trust_code]],trust_lookup[],3,0)</f>
        <v>BHR</v>
      </c>
      <c r="AE184" s="14" t="str">
        <f>VLOOKUP(flu_eth_ep[[#This Row],[trust_code]],trust_lookup[],4,0)</f>
        <v>Acute</v>
      </c>
    </row>
    <row r="185" spans="2:31" x14ac:dyDescent="0.35">
      <c r="B185" s="2" t="s">
        <v>448</v>
      </c>
      <c r="C185" s="2" t="s">
        <v>449</v>
      </c>
      <c r="D185" s="2" t="s">
        <v>407</v>
      </c>
      <c r="E185" s="2" t="s">
        <v>24</v>
      </c>
      <c r="F185" s="23">
        <v>1630</v>
      </c>
      <c r="G185" s="23">
        <v>694</v>
      </c>
      <c r="H185" s="24">
        <v>0.42576687116564399</v>
      </c>
      <c r="I185" s="24">
        <v>0.42738095199999998</v>
      </c>
      <c r="J185" s="58">
        <v>1345</v>
      </c>
      <c r="K185" s="58">
        <v>682</v>
      </c>
      <c r="L185" s="24">
        <v>0.50706319702602198</v>
      </c>
      <c r="N185" s="2" t="s">
        <v>187</v>
      </c>
      <c r="O185" s="2" t="s">
        <v>188</v>
      </c>
      <c r="P185" s="2" t="s">
        <v>192</v>
      </c>
      <c r="Q185" s="2" t="s">
        <v>42</v>
      </c>
      <c r="R185" s="23">
        <v>314</v>
      </c>
      <c r="S185" s="23">
        <v>151</v>
      </c>
      <c r="T185" s="2">
        <v>0.48089171974522199</v>
      </c>
      <c r="U185" s="14" t="str">
        <f>VLOOKUP(flu_staff[[#This Row],[trust_code]],trust_lookup[],3,0)</f>
        <v>West London</v>
      </c>
      <c r="W185" s="2" t="s">
        <v>37</v>
      </c>
      <c r="X185" s="2" t="s">
        <v>38</v>
      </c>
      <c r="Y185" s="2" t="s">
        <v>190</v>
      </c>
      <c r="Z185" s="2" t="s">
        <v>36</v>
      </c>
      <c r="AA185" s="23">
        <v>1266</v>
      </c>
      <c r="AB185" s="23">
        <v>398</v>
      </c>
      <c r="AC185" s="24">
        <v>0.31437598736176903</v>
      </c>
      <c r="AD185" s="14" t="str">
        <f>VLOOKUP(flu_eth_ep[[#This Row],[trust_code]],trust_lookup[],3,0)</f>
        <v>Barts</v>
      </c>
      <c r="AE185" s="14" t="str">
        <f>VLOOKUP(flu_eth_ep[[#This Row],[trust_code]],trust_lookup[],4,0)</f>
        <v>Acute</v>
      </c>
    </row>
    <row r="186" spans="2:31" x14ac:dyDescent="0.35">
      <c r="B186" s="2" t="s">
        <v>450</v>
      </c>
      <c r="C186" s="2" t="s">
        <v>451</v>
      </c>
      <c r="D186" s="2" t="s">
        <v>407</v>
      </c>
      <c r="E186" s="2" t="s">
        <v>24</v>
      </c>
      <c r="F186" s="23">
        <v>4933</v>
      </c>
      <c r="G186" s="23">
        <v>2408</v>
      </c>
      <c r="H186" s="24">
        <v>0.48814109061423</v>
      </c>
      <c r="I186" s="24">
        <v>0.469305525</v>
      </c>
      <c r="J186" s="58">
        <v>800</v>
      </c>
      <c r="K186" s="58">
        <v>429</v>
      </c>
      <c r="L186" s="24">
        <v>0.53625</v>
      </c>
      <c r="N186" s="2" t="s">
        <v>187</v>
      </c>
      <c r="O186" s="2" t="s">
        <v>188</v>
      </c>
      <c r="P186" s="2" t="s">
        <v>192</v>
      </c>
      <c r="Q186" s="2" t="s">
        <v>74</v>
      </c>
      <c r="R186" s="23">
        <v>6</v>
      </c>
      <c r="S186" s="23">
        <v>1</v>
      </c>
      <c r="T186" s="2">
        <v>0.16666666666666599</v>
      </c>
      <c r="U186" s="14" t="str">
        <f>VLOOKUP(flu_staff[[#This Row],[trust_code]],trust_lookup[],3,0)</f>
        <v>West London</v>
      </c>
      <c r="W186" s="2" t="s">
        <v>37</v>
      </c>
      <c r="X186" s="2" t="s">
        <v>38</v>
      </c>
      <c r="Y186" s="2" t="s">
        <v>190</v>
      </c>
      <c r="Z186" s="2" t="s">
        <v>100</v>
      </c>
      <c r="AA186" s="23">
        <v>3618</v>
      </c>
      <c r="AB186" s="23">
        <v>850</v>
      </c>
      <c r="AC186" s="24">
        <v>0.234936428966279</v>
      </c>
      <c r="AD186" s="14" t="str">
        <f>VLOOKUP(flu_eth_ep[[#This Row],[trust_code]],trust_lookup[],3,0)</f>
        <v>Barts</v>
      </c>
      <c r="AE186" s="14" t="str">
        <f>VLOOKUP(flu_eth_ep[[#This Row],[trust_code]],trust_lookup[],4,0)</f>
        <v>Acute</v>
      </c>
    </row>
    <row r="187" spans="2:31" x14ac:dyDescent="0.35">
      <c r="B187" s="2" t="s">
        <v>452</v>
      </c>
      <c r="C187" s="2" t="s">
        <v>453</v>
      </c>
      <c r="D187" s="2" t="s">
        <v>407</v>
      </c>
      <c r="E187" s="2" t="s">
        <v>24</v>
      </c>
      <c r="F187" s="23">
        <v>6004</v>
      </c>
      <c r="G187" s="23">
        <v>2814</v>
      </c>
      <c r="H187" s="24">
        <v>0.46868754163890702</v>
      </c>
      <c r="I187" s="24">
        <v>0.47441957600000001</v>
      </c>
      <c r="J187" s="58">
        <v>1960</v>
      </c>
      <c r="K187" s="58">
        <v>926</v>
      </c>
      <c r="L187" s="24">
        <v>0.47244897959183602</v>
      </c>
      <c r="N187" s="2" t="s">
        <v>89</v>
      </c>
      <c r="O187" s="2" t="s">
        <v>90</v>
      </c>
      <c r="P187" s="2" t="s">
        <v>193</v>
      </c>
      <c r="Q187" s="2" t="s">
        <v>28</v>
      </c>
      <c r="R187" s="23">
        <v>1391</v>
      </c>
      <c r="S187" s="23">
        <v>348</v>
      </c>
      <c r="T187" s="2">
        <v>0.25017972681523998</v>
      </c>
      <c r="U187" s="14" t="str">
        <f>VLOOKUP(flu_staff[[#This Row],[trust_code]],trust_lookup[],3,0)</f>
        <v>GSTT</v>
      </c>
      <c r="W187" s="2" t="s">
        <v>37</v>
      </c>
      <c r="X187" s="2" t="s">
        <v>38</v>
      </c>
      <c r="Y187" s="2" t="s">
        <v>190</v>
      </c>
      <c r="Z187" s="2" t="s">
        <v>88</v>
      </c>
      <c r="AA187" s="23">
        <v>1232</v>
      </c>
      <c r="AB187" s="23">
        <v>238</v>
      </c>
      <c r="AC187" s="24">
        <v>0.19318181818181801</v>
      </c>
      <c r="AD187" s="14" t="str">
        <f>VLOOKUP(flu_eth_ep[[#This Row],[trust_code]],trust_lookup[],3,0)</f>
        <v>Barts</v>
      </c>
      <c r="AE187" s="14" t="str">
        <f>VLOOKUP(flu_eth_ep[[#This Row],[trust_code]],trust_lookup[],4,0)</f>
        <v>Acute</v>
      </c>
    </row>
    <row r="188" spans="2:31" x14ac:dyDescent="0.35">
      <c r="B188" s="2" t="s">
        <v>454</v>
      </c>
      <c r="C188" s="2" t="s">
        <v>455</v>
      </c>
      <c r="D188" s="2" t="s">
        <v>407</v>
      </c>
      <c r="E188" s="2" t="s">
        <v>24</v>
      </c>
      <c r="F188" s="23">
        <v>900</v>
      </c>
      <c r="G188" s="23">
        <v>448</v>
      </c>
      <c r="H188" s="24">
        <v>0.49777777777777699</v>
      </c>
      <c r="I188" s="24">
        <v>0.489051919</v>
      </c>
      <c r="J188" s="58">
        <v>406</v>
      </c>
      <c r="K188" s="58">
        <v>238</v>
      </c>
      <c r="L188" s="24">
        <v>0.58620689655172398</v>
      </c>
      <c r="N188" s="2" t="s">
        <v>89</v>
      </c>
      <c r="O188" s="2" t="s">
        <v>90</v>
      </c>
      <c r="P188" s="2" t="s">
        <v>193</v>
      </c>
      <c r="Q188" s="2" t="s">
        <v>74</v>
      </c>
      <c r="R188" s="23">
        <v>866</v>
      </c>
      <c r="S188" s="23">
        <v>397</v>
      </c>
      <c r="T188" s="2">
        <v>0.45842956120092299</v>
      </c>
      <c r="U188" s="14" t="str">
        <f>VLOOKUP(flu_staff[[#This Row],[trust_code]],trust_lookup[],3,0)</f>
        <v>GSTT</v>
      </c>
      <c r="W188" s="2" t="s">
        <v>37</v>
      </c>
      <c r="X188" s="2" t="s">
        <v>38</v>
      </c>
      <c r="Y188" s="2" t="s">
        <v>190</v>
      </c>
      <c r="Z188" s="2" t="s">
        <v>75</v>
      </c>
      <c r="AA188" s="23">
        <v>889</v>
      </c>
      <c r="AB188" s="23">
        <v>196</v>
      </c>
      <c r="AC188" s="24">
        <v>0.220472440944881</v>
      </c>
      <c r="AD188" s="14" t="str">
        <f>VLOOKUP(flu_eth_ep[[#This Row],[trust_code]],trust_lookup[],3,0)</f>
        <v>Barts</v>
      </c>
      <c r="AE188" s="14" t="str">
        <f>VLOOKUP(flu_eth_ep[[#This Row],[trust_code]],trust_lookup[],4,0)</f>
        <v>Acute</v>
      </c>
    </row>
    <row r="189" spans="2:31" x14ac:dyDescent="0.35">
      <c r="B189" s="2" t="s">
        <v>456</v>
      </c>
      <c r="C189" s="2" t="s">
        <v>457</v>
      </c>
      <c r="D189" s="2" t="s">
        <v>407</v>
      </c>
      <c r="E189" s="2" t="s">
        <v>24</v>
      </c>
      <c r="F189" s="23">
        <v>4286</v>
      </c>
      <c r="G189" s="23">
        <v>2485</v>
      </c>
      <c r="H189" s="24">
        <v>0.57979468035464299</v>
      </c>
      <c r="I189" s="24">
        <v>0.55072393799999997</v>
      </c>
      <c r="J189" s="58">
        <v>1533</v>
      </c>
      <c r="K189" s="58">
        <v>969</v>
      </c>
      <c r="L189" s="24">
        <v>0.63209393346379605</v>
      </c>
      <c r="N189" s="2" t="s">
        <v>89</v>
      </c>
      <c r="O189" s="2" t="s">
        <v>90</v>
      </c>
      <c r="P189" s="2" t="s">
        <v>193</v>
      </c>
      <c r="Q189" s="2" t="s">
        <v>42</v>
      </c>
      <c r="R189" s="23">
        <v>4001</v>
      </c>
      <c r="S189" s="23">
        <v>2162</v>
      </c>
      <c r="T189" s="2">
        <v>0.54036490877280596</v>
      </c>
      <c r="U189" s="14" t="str">
        <f>VLOOKUP(flu_staff[[#This Row],[trust_code]],trust_lookup[],3,0)</f>
        <v>GSTT</v>
      </c>
      <c r="W189" s="2" t="s">
        <v>37</v>
      </c>
      <c r="X189" s="2" t="s">
        <v>38</v>
      </c>
      <c r="Y189" s="2" t="s">
        <v>190</v>
      </c>
      <c r="Z189" s="2" t="s">
        <v>36</v>
      </c>
      <c r="AA189" s="23">
        <v>57</v>
      </c>
      <c r="AB189" s="23">
        <v>3</v>
      </c>
      <c r="AC189" s="24">
        <v>5.2631578947368397E-2</v>
      </c>
      <c r="AD189" s="14" t="str">
        <f>VLOOKUP(flu_eth_ep[[#This Row],[trust_code]],trust_lookup[],3,0)</f>
        <v>Barts</v>
      </c>
      <c r="AE189" s="14" t="str">
        <f>VLOOKUP(flu_eth_ep[[#This Row],[trust_code]],trust_lookup[],4,0)</f>
        <v>Acute</v>
      </c>
    </row>
    <row r="190" spans="2:31" x14ac:dyDescent="0.35">
      <c r="B190" s="2" t="s">
        <v>458</v>
      </c>
      <c r="C190" s="2" t="s">
        <v>459</v>
      </c>
      <c r="D190" s="2" t="s">
        <v>407</v>
      </c>
      <c r="E190" s="2" t="s">
        <v>24</v>
      </c>
      <c r="F190" s="23">
        <v>4332</v>
      </c>
      <c r="G190" s="23">
        <v>1853</v>
      </c>
      <c r="H190" s="24">
        <v>0.42774699907663899</v>
      </c>
      <c r="I190" s="24">
        <v>0.44737084900000001</v>
      </c>
      <c r="J190" s="58">
        <v>1863</v>
      </c>
      <c r="K190" s="58">
        <v>873</v>
      </c>
      <c r="L190" s="24">
        <v>0.46859903381642498</v>
      </c>
      <c r="N190" s="2" t="s">
        <v>89</v>
      </c>
      <c r="O190" s="2" t="s">
        <v>90</v>
      </c>
      <c r="P190" s="2" t="s">
        <v>193</v>
      </c>
      <c r="Q190" s="2" t="s">
        <v>67</v>
      </c>
      <c r="R190" s="23">
        <v>1079</v>
      </c>
      <c r="S190" s="23">
        <v>469</v>
      </c>
      <c r="T190" s="2">
        <v>0.43466172381835</v>
      </c>
      <c r="U190" s="14" t="str">
        <f>VLOOKUP(flu_staff[[#This Row],[trust_code]],trust_lookup[],3,0)</f>
        <v>GSTT</v>
      </c>
      <c r="W190" s="2" t="s">
        <v>37</v>
      </c>
      <c r="X190" s="2" t="s">
        <v>38</v>
      </c>
      <c r="Y190" s="2" t="s">
        <v>190</v>
      </c>
      <c r="Z190" s="2" t="s">
        <v>129</v>
      </c>
      <c r="AA190" s="23">
        <v>122</v>
      </c>
      <c r="AB190" s="23">
        <v>26</v>
      </c>
      <c r="AC190" s="24">
        <v>0.21311475409836</v>
      </c>
      <c r="AD190" s="14" t="str">
        <f>VLOOKUP(flu_eth_ep[[#This Row],[trust_code]],trust_lookup[],3,0)</f>
        <v>Barts</v>
      </c>
      <c r="AE190" s="14" t="str">
        <f>VLOOKUP(flu_eth_ep[[#This Row],[trust_code]],trust_lookup[],4,0)</f>
        <v>Acute</v>
      </c>
    </row>
    <row r="191" spans="2:31" x14ac:dyDescent="0.35">
      <c r="B191" s="2" t="s">
        <v>460</v>
      </c>
      <c r="C191" s="2" t="s">
        <v>461</v>
      </c>
      <c r="D191" s="2" t="s">
        <v>407</v>
      </c>
      <c r="E191" s="2" t="s">
        <v>24</v>
      </c>
      <c r="F191" s="23">
        <v>13022</v>
      </c>
      <c r="G191" s="23">
        <v>6653</v>
      </c>
      <c r="H191" s="24">
        <v>0.51090462294578398</v>
      </c>
      <c r="I191" s="24">
        <v>0.46473235400000001</v>
      </c>
      <c r="J191" s="58">
        <v>5458</v>
      </c>
      <c r="K191" s="58">
        <v>2693</v>
      </c>
      <c r="L191" s="24">
        <v>0.493404177354342</v>
      </c>
      <c r="N191" s="2" t="s">
        <v>89</v>
      </c>
      <c r="O191" s="2" t="s">
        <v>90</v>
      </c>
      <c r="P191" s="2" t="s">
        <v>193</v>
      </c>
      <c r="Q191" s="2" t="s">
        <v>35</v>
      </c>
      <c r="R191" s="23">
        <v>14</v>
      </c>
      <c r="S191" s="23">
        <v>2</v>
      </c>
      <c r="T191" s="2">
        <v>0.14285714285714199</v>
      </c>
      <c r="U191" s="14" t="str">
        <f>VLOOKUP(flu_staff[[#This Row],[trust_code]],trust_lookup[],3,0)</f>
        <v>GSTT</v>
      </c>
      <c r="W191" s="2" t="s">
        <v>37</v>
      </c>
      <c r="X191" s="2" t="s">
        <v>38</v>
      </c>
      <c r="Y191" s="2" t="s">
        <v>190</v>
      </c>
      <c r="Z191" s="2" t="s">
        <v>112</v>
      </c>
      <c r="AA191" s="23">
        <v>1533</v>
      </c>
      <c r="AB191" s="23">
        <v>541</v>
      </c>
      <c r="AC191" s="24">
        <v>0.35290280495759901</v>
      </c>
      <c r="AD191" s="14" t="str">
        <f>VLOOKUP(flu_eth_ep[[#This Row],[trust_code]],trust_lookup[],3,0)</f>
        <v>Barts</v>
      </c>
      <c r="AE191" s="14" t="str">
        <f>VLOOKUP(flu_eth_ep[[#This Row],[trust_code]],trust_lookup[],4,0)</f>
        <v>Acute</v>
      </c>
    </row>
    <row r="192" spans="2:31" x14ac:dyDescent="0.35">
      <c r="B192" s="2" t="s">
        <v>462</v>
      </c>
      <c r="C192" s="2" t="s">
        <v>463</v>
      </c>
      <c r="D192" s="2" t="s">
        <v>464</v>
      </c>
      <c r="E192" s="2" t="s">
        <v>24</v>
      </c>
      <c r="F192" s="23">
        <v>4803</v>
      </c>
      <c r="G192" s="23">
        <v>3083</v>
      </c>
      <c r="H192" s="24">
        <v>0.64189048511347002</v>
      </c>
      <c r="I192" s="24">
        <v>0.66135182000000003</v>
      </c>
      <c r="J192" s="58">
        <v>503</v>
      </c>
      <c r="K192" s="58">
        <v>291</v>
      </c>
      <c r="L192" s="24">
        <v>0.57852882703777297</v>
      </c>
      <c r="N192" s="2" t="s">
        <v>89</v>
      </c>
      <c r="O192" s="2" t="s">
        <v>90</v>
      </c>
      <c r="P192" s="2" t="s">
        <v>193</v>
      </c>
      <c r="Q192" s="2" t="s">
        <v>53</v>
      </c>
      <c r="R192" s="23">
        <v>6216</v>
      </c>
      <c r="S192" s="23">
        <v>2689</v>
      </c>
      <c r="T192" s="2">
        <v>0.432593307593307</v>
      </c>
      <c r="U192" s="14" t="str">
        <f>VLOOKUP(flu_staff[[#This Row],[trust_code]],trust_lookup[],3,0)</f>
        <v>GSTT</v>
      </c>
      <c r="W192" s="2" t="s">
        <v>37</v>
      </c>
      <c r="X192" s="2" t="s">
        <v>38</v>
      </c>
      <c r="Y192" s="2" t="s">
        <v>190</v>
      </c>
      <c r="Z192" s="2" t="s">
        <v>82</v>
      </c>
      <c r="AA192" s="23">
        <v>718</v>
      </c>
      <c r="AB192" s="23">
        <v>181</v>
      </c>
      <c r="AC192" s="24">
        <v>0.25208913649025</v>
      </c>
      <c r="AD192" s="14" t="str">
        <f>VLOOKUP(flu_eth_ep[[#This Row],[trust_code]],trust_lookup[],3,0)</f>
        <v>Barts</v>
      </c>
      <c r="AE192" s="14" t="str">
        <f>VLOOKUP(flu_eth_ep[[#This Row],[trust_code]],trust_lookup[],4,0)</f>
        <v>Acute</v>
      </c>
    </row>
    <row r="193" spans="2:31" x14ac:dyDescent="0.35">
      <c r="B193" s="2" t="s">
        <v>465</v>
      </c>
      <c r="C193" s="2" t="s">
        <v>466</v>
      </c>
      <c r="D193" s="2" t="s">
        <v>464</v>
      </c>
      <c r="E193" s="2" t="s">
        <v>24</v>
      </c>
      <c r="F193" s="23">
        <v>5450</v>
      </c>
      <c r="G193" s="23">
        <v>3461</v>
      </c>
      <c r="H193" s="24">
        <v>0.63504587155963299</v>
      </c>
      <c r="I193" s="24">
        <v>0.62854697599999998</v>
      </c>
      <c r="J193" s="58">
        <v>1307</v>
      </c>
      <c r="K193" s="58">
        <v>805</v>
      </c>
      <c r="L193" s="24">
        <v>0.61591430757459797</v>
      </c>
      <c r="N193" s="2" t="s">
        <v>89</v>
      </c>
      <c r="O193" s="2" t="s">
        <v>90</v>
      </c>
      <c r="P193" s="2" t="s">
        <v>193</v>
      </c>
      <c r="Q193" s="2" t="s">
        <v>46</v>
      </c>
      <c r="R193" s="23">
        <v>56</v>
      </c>
      <c r="S193" s="23">
        <v>26</v>
      </c>
      <c r="T193" s="2">
        <v>0.46428571428571402</v>
      </c>
      <c r="U193" s="14" t="str">
        <f>VLOOKUP(flu_staff[[#This Row],[trust_code]],trust_lookup[],3,0)</f>
        <v>GSTT</v>
      </c>
      <c r="W193" s="2" t="s">
        <v>37</v>
      </c>
      <c r="X193" s="2" t="s">
        <v>38</v>
      </c>
      <c r="Y193" s="2" t="s">
        <v>190</v>
      </c>
      <c r="Z193" s="2" t="s">
        <v>141</v>
      </c>
      <c r="AA193" s="23">
        <v>1863</v>
      </c>
      <c r="AB193" s="23">
        <v>693</v>
      </c>
      <c r="AC193" s="24">
        <v>0.37198067632850201</v>
      </c>
      <c r="AD193" s="14" t="str">
        <f>VLOOKUP(flu_eth_ep[[#This Row],[trust_code]],trust_lookup[],3,0)</f>
        <v>Barts</v>
      </c>
      <c r="AE193" s="14" t="str">
        <f>VLOOKUP(flu_eth_ep[[#This Row],[trust_code]],trust_lookup[],4,0)</f>
        <v>Acute</v>
      </c>
    </row>
    <row r="194" spans="2:31" x14ac:dyDescent="0.35">
      <c r="B194" s="2" t="s">
        <v>467</v>
      </c>
      <c r="C194" s="2" t="s">
        <v>468</v>
      </c>
      <c r="D194" s="2" t="s">
        <v>464</v>
      </c>
      <c r="E194" s="2" t="s">
        <v>24</v>
      </c>
      <c r="F194" s="23">
        <v>3538</v>
      </c>
      <c r="G194" s="23">
        <v>2151</v>
      </c>
      <c r="H194" s="24">
        <v>0.60797060486150301</v>
      </c>
      <c r="I194" s="24">
        <v>0.59391891900000005</v>
      </c>
      <c r="J194" s="58">
        <v>1141</v>
      </c>
      <c r="K194" s="58">
        <v>767</v>
      </c>
      <c r="L194" s="24">
        <v>0.67221735319894804</v>
      </c>
      <c r="N194" s="2" t="s">
        <v>89</v>
      </c>
      <c r="O194" s="2" t="s">
        <v>90</v>
      </c>
      <c r="P194" s="2" t="s">
        <v>193</v>
      </c>
      <c r="Q194" s="2" t="s">
        <v>81</v>
      </c>
      <c r="R194" s="23">
        <v>2090</v>
      </c>
      <c r="S194" s="23">
        <v>621</v>
      </c>
      <c r="T194" s="2">
        <v>0.29712918660287002</v>
      </c>
      <c r="U194" s="14" t="str">
        <f>VLOOKUP(flu_staff[[#This Row],[trust_code]],trust_lookup[],3,0)</f>
        <v>GSTT</v>
      </c>
      <c r="W194" s="2" t="s">
        <v>37</v>
      </c>
      <c r="X194" s="2" t="s">
        <v>38</v>
      </c>
      <c r="Y194" s="2" t="s">
        <v>190</v>
      </c>
      <c r="Z194" s="2" t="s">
        <v>47</v>
      </c>
      <c r="AA194" s="23">
        <v>234</v>
      </c>
      <c r="AB194" s="23">
        <v>50</v>
      </c>
      <c r="AC194" s="24">
        <v>0.213675213675213</v>
      </c>
      <c r="AD194" s="14" t="str">
        <f>VLOOKUP(flu_eth_ep[[#This Row],[trust_code]],trust_lookup[],3,0)</f>
        <v>Barts</v>
      </c>
      <c r="AE194" s="14" t="str">
        <f>VLOOKUP(flu_eth_ep[[#This Row],[trust_code]],trust_lookup[],4,0)</f>
        <v>Acute</v>
      </c>
    </row>
    <row r="195" spans="2:31" x14ac:dyDescent="0.35">
      <c r="B195" s="2" t="s">
        <v>469</v>
      </c>
      <c r="C195" s="2" t="s">
        <v>470</v>
      </c>
      <c r="D195" s="2" t="s">
        <v>464</v>
      </c>
      <c r="E195" s="2" t="s">
        <v>24</v>
      </c>
      <c r="F195" s="23">
        <v>4209</v>
      </c>
      <c r="G195" s="23">
        <v>2148</v>
      </c>
      <c r="H195" s="24">
        <v>0.51033499643620805</v>
      </c>
      <c r="I195" s="24">
        <v>0.51629213500000004</v>
      </c>
      <c r="J195" s="58">
        <v>1202</v>
      </c>
      <c r="K195" s="58">
        <v>698</v>
      </c>
      <c r="L195" s="24">
        <v>0.58069883527454202</v>
      </c>
      <c r="N195" s="2" t="s">
        <v>89</v>
      </c>
      <c r="O195" s="2" t="s">
        <v>90</v>
      </c>
      <c r="P195" s="2" t="s">
        <v>193</v>
      </c>
      <c r="Q195" s="2" t="s">
        <v>60</v>
      </c>
      <c r="R195" s="23">
        <v>1387</v>
      </c>
      <c r="S195" s="23">
        <v>773</v>
      </c>
      <c r="T195" s="2">
        <v>0.55731795241528403</v>
      </c>
      <c r="U195" s="14" t="str">
        <f>VLOOKUP(flu_staff[[#This Row],[trust_code]],trust_lookup[],3,0)</f>
        <v>GSTT</v>
      </c>
      <c r="W195" s="2" t="s">
        <v>37</v>
      </c>
      <c r="X195" s="2" t="s">
        <v>38</v>
      </c>
      <c r="Y195" s="2" t="s">
        <v>190</v>
      </c>
      <c r="Z195" s="2" t="s">
        <v>123</v>
      </c>
      <c r="AA195" s="23">
        <v>1940</v>
      </c>
      <c r="AB195" s="23">
        <v>668</v>
      </c>
      <c r="AC195" s="24">
        <v>0.34432989690721599</v>
      </c>
      <c r="AD195" s="14" t="str">
        <f>VLOOKUP(flu_eth_ep[[#This Row],[trust_code]],trust_lookup[],3,0)</f>
        <v>Barts</v>
      </c>
      <c r="AE195" s="14" t="str">
        <f>VLOOKUP(flu_eth_ep[[#This Row],[trust_code]],trust_lookup[],4,0)</f>
        <v>Acute</v>
      </c>
    </row>
    <row r="196" spans="2:31" x14ac:dyDescent="0.35">
      <c r="B196" s="2" t="s">
        <v>471</v>
      </c>
      <c r="C196" s="2" t="s">
        <v>472</v>
      </c>
      <c r="D196" s="2" t="s">
        <v>464</v>
      </c>
      <c r="E196" s="2" t="s">
        <v>24</v>
      </c>
      <c r="F196" s="23">
        <v>9493</v>
      </c>
      <c r="G196" s="23">
        <v>5156</v>
      </c>
      <c r="H196" s="24">
        <v>0.54313704835141596</v>
      </c>
      <c r="I196" s="24">
        <v>0.53755266199999996</v>
      </c>
      <c r="J196" s="58">
        <v>1096</v>
      </c>
      <c r="K196" s="58">
        <v>591</v>
      </c>
      <c r="L196" s="24">
        <v>0.53923357664233496</v>
      </c>
      <c r="N196" s="2" t="s">
        <v>107</v>
      </c>
      <c r="O196" s="2" t="s">
        <v>108</v>
      </c>
      <c r="P196" s="2" t="s">
        <v>193</v>
      </c>
      <c r="Q196" s="2" t="s">
        <v>28</v>
      </c>
      <c r="R196" s="23">
        <v>48</v>
      </c>
      <c r="S196" s="23">
        <v>19</v>
      </c>
      <c r="T196" s="2">
        <v>0.39583333333333298</v>
      </c>
      <c r="U196" s="14" t="str">
        <f>VLOOKUP(flu_staff[[#This Row],[trust_code]],trust_lookup[],3,0)</f>
        <v>King's</v>
      </c>
      <c r="W196" s="2" t="s">
        <v>37</v>
      </c>
      <c r="X196" s="2" t="s">
        <v>38</v>
      </c>
      <c r="Y196" s="2" t="s">
        <v>190</v>
      </c>
      <c r="Z196" s="2" t="s">
        <v>94</v>
      </c>
      <c r="AA196" s="23">
        <v>148</v>
      </c>
      <c r="AB196" s="23">
        <v>51</v>
      </c>
      <c r="AC196" s="24">
        <v>0.34459459459459402</v>
      </c>
      <c r="AD196" s="14" t="str">
        <f>VLOOKUP(flu_eth_ep[[#This Row],[trust_code]],trust_lookup[],3,0)</f>
        <v>Barts</v>
      </c>
      <c r="AE196" s="14" t="str">
        <f>VLOOKUP(flu_eth_ep[[#This Row],[trust_code]],trust_lookup[],4,0)</f>
        <v>Acute</v>
      </c>
    </row>
    <row r="197" spans="2:31" x14ac:dyDescent="0.35">
      <c r="B197" s="2" t="s">
        <v>473</v>
      </c>
      <c r="C197" s="2" t="s">
        <v>474</v>
      </c>
      <c r="D197" s="2" t="s">
        <v>464</v>
      </c>
      <c r="E197" s="2" t="s">
        <v>24</v>
      </c>
      <c r="F197" s="23">
        <v>13127</v>
      </c>
      <c r="G197" s="23">
        <v>7303</v>
      </c>
      <c r="H197" s="24">
        <v>0.55633427287270498</v>
      </c>
      <c r="I197" s="24">
        <v>0.56246562</v>
      </c>
      <c r="J197" s="58">
        <v>1432</v>
      </c>
      <c r="K197" s="58">
        <v>769</v>
      </c>
      <c r="L197" s="24">
        <v>0.53701117318435698</v>
      </c>
      <c r="N197" s="2" t="s">
        <v>107</v>
      </c>
      <c r="O197" s="2" t="s">
        <v>108</v>
      </c>
      <c r="P197" s="2" t="s">
        <v>193</v>
      </c>
      <c r="Q197" s="2" t="s">
        <v>81</v>
      </c>
      <c r="R197" s="23">
        <v>1691</v>
      </c>
      <c r="S197" s="23">
        <v>626</v>
      </c>
      <c r="T197" s="2">
        <v>0.37019515079834397</v>
      </c>
      <c r="U197" s="14" t="str">
        <f>VLOOKUP(flu_staff[[#This Row],[trust_code]],trust_lookup[],3,0)</f>
        <v>King's</v>
      </c>
      <c r="W197" s="2" t="s">
        <v>37</v>
      </c>
      <c r="X197" s="2" t="s">
        <v>38</v>
      </c>
      <c r="Y197" s="2" t="s">
        <v>190</v>
      </c>
      <c r="Z197" s="2" t="s">
        <v>106</v>
      </c>
      <c r="AA197" s="23">
        <v>296</v>
      </c>
      <c r="AB197" s="23">
        <v>138</v>
      </c>
      <c r="AC197" s="24">
        <v>0.46621621621621601</v>
      </c>
      <c r="AD197" s="14" t="str">
        <f>VLOOKUP(flu_eth_ep[[#This Row],[trust_code]],trust_lookup[],3,0)</f>
        <v>Barts</v>
      </c>
      <c r="AE197" s="14" t="str">
        <f>VLOOKUP(flu_eth_ep[[#This Row],[trust_code]],trust_lookup[],4,0)</f>
        <v>Acute</v>
      </c>
    </row>
    <row r="198" spans="2:31" x14ac:dyDescent="0.35">
      <c r="B198" s="2" t="s">
        <v>475</v>
      </c>
      <c r="C198" s="2" t="s">
        <v>476</v>
      </c>
      <c r="D198" s="2" t="s">
        <v>464</v>
      </c>
      <c r="E198" s="2" t="s">
        <v>24</v>
      </c>
      <c r="F198" s="23">
        <v>4006</v>
      </c>
      <c r="G198" s="23">
        <v>1897</v>
      </c>
      <c r="H198" s="24">
        <v>0.473539690464303</v>
      </c>
      <c r="I198" s="24">
        <v>0.427655389</v>
      </c>
      <c r="J198" s="58">
        <v>994</v>
      </c>
      <c r="K198" s="58">
        <v>532</v>
      </c>
      <c r="L198" s="24">
        <v>0.53521126760563298</v>
      </c>
      <c r="N198" s="2" t="s">
        <v>107</v>
      </c>
      <c r="O198" s="2" t="s">
        <v>108</v>
      </c>
      <c r="P198" s="2" t="s">
        <v>193</v>
      </c>
      <c r="Q198" s="2" t="s">
        <v>60</v>
      </c>
      <c r="R198" s="23">
        <v>674</v>
      </c>
      <c r="S198" s="23">
        <v>354</v>
      </c>
      <c r="T198" s="2">
        <v>0.52522255192878298</v>
      </c>
      <c r="U198" s="14" t="str">
        <f>VLOOKUP(flu_staff[[#This Row],[trust_code]],trust_lookup[],3,0)</f>
        <v>King's</v>
      </c>
      <c r="W198" s="2" t="s">
        <v>37</v>
      </c>
      <c r="X198" s="2" t="s">
        <v>38</v>
      </c>
      <c r="Y198" s="2" t="s">
        <v>190</v>
      </c>
      <c r="Z198" s="2" t="s">
        <v>68</v>
      </c>
      <c r="AA198" s="23">
        <v>4283</v>
      </c>
      <c r="AB198" s="23">
        <v>2271</v>
      </c>
      <c r="AC198" s="24">
        <v>0.53023581601681002</v>
      </c>
      <c r="AD198" s="14" t="str">
        <f>VLOOKUP(flu_eth_ep[[#This Row],[trust_code]],trust_lookup[],3,0)</f>
        <v>Barts</v>
      </c>
      <c r="AE198" s="14" t="str">
        <f>VLOOKUP(flu_eth_ep[[#This Row],[trust_code]],trust_lookup[],4,0)</f>
        <v>Acute</v>
      </c>
    </row>
    <row r="199" spans="2:31" x14ac:dyDescent="0.35">
      <c r="B199" s="2" t="s">
        <v>477</v>
      </c>
      <c r="C199" s="2" t="s">
        <v>478</v>
      </c>
      <c r="D199" s="2" t="s">
        <v>464</v>
      </c>
      <c r="E199" s="2" t="s">
        <v>24</v>
      </c>
      <c r="F199" s="23">
        <v>5860</v>
      </c>
      <c r="G199" s="23">
        <v>2932</v>
      </c>
      <c r="H199" s="24">
        <v>0.50034129692832696</v>
      </c>
      <c r="I199" s="24">
        <v>0.456938923</v>
      </c>
      <c r="J199" s="58">
        <v>2689</v>
      </c>
      <c r="K199" s="58">
        <v>1302</v>
      </c>
      <c r="L199" s="24">
        <v>0.48419486798066103</v>
      </c>
      <c r="N199" s="2" t="s">
        <v>107</v>
      </c>
      <c r="O199" s="2" t="s">
        <v>108</v>
      </c>
      <c r="P199" s="2" t="s">
        <v>193</v>
      </c>
      <c r="Q199" s="2" t="s">
        <v>35</v>
      </c>
      <c r="R199" s="23">
        <v>14</v>
      </c>
      <c r="S199" s="23">
        <v>4</v>
      </c>
      <c r="T199" s="2">
        <v>0.28571428571428498</v>
      </c>
      <c r="U199" s="14" t="str">
        <f>VLOOKUP(flu_staff[[#This Row],[trust_code]],trust_lookup[],3,0)</f>
        <v>King's</v>
      </c>
      <c r="W199" s="2" t="s">
        <v>37</v>
      </c>
      <c r="X199" s="2" t="s">
        <v>38</v>
      </c>
      <c r="Y199" s="2" t="s">
        <v>190</v>
      </c>
      <c r="Z199" s="2" t="s">
        <v>54</v>
      </c>
      <c r="AA199" s="23">
        <v>2073</v>
      </c>
      <c r="AB199" s="23">
        <v>742</v>
      </c>
      <c r="AC199" s="24">
        <v>0.35793535938253701</v>
      </c>
      <c r="AD199" s="14" t="str">
        <f>VLOOKUP(flu_eth_ep[[#This Row],[trust_code]],trust_lookup[],3,0)</f>
        <v>Barts</v>
      </c>
      <c r="AE199" s="14" t="str">
        <f>VLOOKUP(flu_eth_ep[[#This Row],[trust_code]],trust_lookup[],4,0)</f>
        <v>Acute</v>
      </c>
    </row>
    <row r="200" spans="2:31" x14ac:dyDescent="0.35">
      <c r="B200" s="2" t="s">
        <v>479</v>
      </c>
      <c r="C200" s="2" t="s">
        <v>480</v>
      </c>
      <c r="D200" s="2" t="s">
        <v>464</v>
      </c>
      <c r="E200" s="2" t="s">
        <v>24</v>
      </c>
      <c r="F200" s="23">
        <v>3108</v>
      </c>
      <c r="G200" s="23">
        <v>1539</v>
      </c>
      <c r="H200" s="24">
        <v>0.49517374517374502</v>
      </c>
      <c r="I200" s="24">
        <v>0.53440238299999998</v>
      </c>
      <c r="J200" s="58">
        <v>834</v>
      </c>
      <c r="K200" s="58">
        <v>425</v>
      </c>
      <c r="L200" s="24">
        <v>0.509592326139088</v>
      </c>
      <c r="N200" s="2" t="s">
        <v>107</v>
      </c>
      <c r="O200" s="2" t="s">
        <v>108</v>
      </c>
      <c r="P200" s="2" t="s">
        <v>193</v>
      </c>
      <c r="Q200" s="2" t="s">
        <v>53</v>
      </c>
      <c r="R200" s="23">
        <v>3964</v>
      </c>
      <c r="S200" s="23">
        <v>1814</v>
      </c>
      <c r="T200" s="2">
        <v>0.457618567103935</v>
      </c>
      <c r="U200" s="14" t="str">
        <f>VLOOKUP(flu_staff[[#This Row],[trust_code]],trust_lookup[],3,0)</f>
        <v>King's</v>
      </c>
      <c r="W200" s="2" t="s">
        <v>37</v>
      </c>
      <c r="X200" s="2" t="s">
        <v>38</v>
      </c>
      <c r="Y200" s="2" t="s">
        <v>190</v>
      </c>
      <c r="Z200" s="2" t="s">
        <v>29</v>
      </c>
      <c r="AA200" s="23">
        <v>347</v>
      </c>
      <c r="AB200" s="23">
        <v>124</v>
      </c>
      <c r="AC200" s="24">
        <v>0.35734870317002798</v>
      </c>
      <c r="AD200" s="14" t="str">
        <f>VLOOKUP(flu_eth_ep[[#This Row],[trust_code]],trust_lookup[],3,0)</f>
        <v>Barts</v>
      </c>
      <c r="AE200" s="14" t="str">
        <f>VLOOKUP(flu_eth_ep[[#This Row],[trust_code]],trust_lookup[],4,0)</f>
        <v>Acute</v>
      </c>
    </row>
    <row r="201" spans="2:31" x14ac:dyDescent="0.35">
      <c r="B201" s="2" t="s">
        <v>481</v>
      </c>
      <c r="C201" s="2" t="s">
        <v>482</v>
      </c>
      <c r="D201" s="2" t="s">
        <v>464</v>
      </c>
      <c r="E201" s="2" t="s">
        <v>24</v>
      </c>
      <c r="F201" s="23">
        <v>10360</v>
      </c>
      <c r="G201" s="23">
        <v>5780</v>
      </c>
      <c r="H201" s="24">
        <v>0.55791505791505702</v>
      </c>
      <c r="I201" s="24">
        <v>0.53172169800000002</v>
      </c>
      <c r="J201" s="58">
        <v>2501</v>
      </c>
      <c r="K201" s="58">
        <v>1354</v>
      </c>
      <c r="L201" s="24">
        <v>0.54138344662135096</v>
      </c>
      <c r="N201" s="2" t="s">
        <v>107</v>
      </c>
      <c r="O201" s="2" t="s">
        <v>108</v>
      </c>
      <c r="P201" s="2" t="s">
        <v>193</v>
      </c>
      <c r="Q201" s="2" t="s">
        <v>46</v>
      </c>
      <c r="R201" s="23">
        <v>16</v>
      </c>
      <c r="S201" s="23">
        <v>4</v>
      </c>
      <c r="T201" s="2">
        <v>0.25</v>
      </c>
      <c r="U201" s="14" t="str">
        <f>VLOOKUP(flu_staff[[#This Row],[trust_code]],trust_lookup[],3,0)</f>
        <v>King's</v>
      </c>
      <c r="W201" s="2" t="s">
        <v>37</v>
      </c>
      <c r="X201" s="2" t="s">
        <v>38</v>
      </c>
      <c r="Y201" s="2" t="s">
        <v>190</v>
      </c>
      <c r="Z201" s="2" t="s">
        <v>135</v>
      </c>
      <c r="AA201" s="23">
        <v>237</v>
      </c>
      <c r="AB201" s="23">
        <v>115</v>
      </c>
      <c r="AC201" s="24">
        <v>0.48523206751054798</v>
      </c>
      <c r="AD201" s="14" t="str">
        <f>VLOOKUP(flu_eth_ep[[#This Row],[trust_code]],trust_lookup[],3,0)</f>
        <v>Barts</v>
      </c>
      <c r="AE201" s="14" t="str">
        <f>VLOOKUP(flu_eth_ep[[#This Row],[trust_code]],trust_lookup[],4,0)</f>
        <v>Acute</v>
      </c>
    </row>
    <row r="202" spans="2:31" x14ac:dyDescent="0.35">
      <c r="B202" s="2" t="s">
        <v>483</v>
      </c>
      <c r="C202" s="2" t="s">
        <v>484</v>
      </c>
      <c r="D202" s="2" t="s">
        <v>464</v>
      </c>
      <c r="E202" s="2" t="s">
        <v>24</v>
      </c>
      <c r="F202" s="23">
        <v>4919</v>
      </c>
      <c r="G202" s="23">
        <v>2816</v>
      </c>
      <c r="H202" s="24">
        <v>0.57247408009758005</v>
      </c>
      <c r="I202" s="24">
        <v>0.57165354300000004</v>
      </c>
      <c r="J202" s="58">
        <v>1473</v>
      </c>
      <c r="K202" s="58">
        <v>835</v>
      </c>
      <c r="L202" s="24">
        <v>0.56687033265444597</v>
      </c>
      <c r="N202" s="2" t="s">
        <v>107</v>
      </c>
      <c r="O202" s="2" t="s">
        <v>108</v>
      </c>
      <c r="P202" s="2" t="s">
        <v>193</v>
      </c>
      <c r="Q202" s="2" t="s">
        <v>42</v>
      </c>
      <c r="R202" s="23">
        <v>2503</v>
      </c>
      <c r="S202" s="23">
        <v>1323</v>
      </c>
      <c r="T202" s="2">
        <v>0.52856572113463796</v>
      </c>
      <c r="U202" s="14" t="str">
        <f>VLOOKUP(flu_staff[[#This Row],[trust_code]],trust_lookup[],3,0)</f>
        <v>King's</v>
      </c>
      <c r="W202" s="2" t="s">
        <v>37</v>
      </c>
      <c r="X202" s="2" t="s">
        <v>38</v>
      </c>
      <c r="Y202" s="2" t="s">
        <v>190</v>
      </c>
      <c r="Z202" s="2" t="s">
        <v>61</v>
      </c>
      <c r="AA202" s="23">
        <v>568</v>
      </c>
      <c r="AB202" s="23">
        <v>104</v>
      </c>
      <c r="AC202" s="24">
        <v>0.183098591549295</v>
      </c>
      <c r="AD202" s="14" t="str">
        <f>VLOOKUP(flu_eth_ep[[#This Row],[trust_code]],trust_lookup[],3,0)</f>
        <v>Barts</v>
      </c>
      <c r="AE202" s="14" t="str">
        <f>VLOOKUP(flu_eth_ep[[#This Row],[trust_code]],trust_lookup[],4,0)</f>
        <v>Acute</v>
      </c>
    </row>
    <row r="203" spans="2:31" x14ac:dyDescent="0.35">
      <c r="B203" s="2" t="s">
        <v>485</v>
      </c>
      <c r="C203" s="2" t="s">
        <v>486</v>
      </c>
      <c r="D203" s="2" t="s">
        <v>464</v>
      </c>
      <c r="E203" s="2" t="s">
        <v>24</v>
      </c>
      <c r="F203" s="23">
        <v>7425</v>
      </c>
      <c r="G203" s="23">
        <v>4236</v>
      </c>
      <c r="H203" s="24">
        <v>0.57050505050504996</v>
      </c>
      <c r="I203" s="24">
        <v>0.51222495800000001</v>
      </c>
      <c r="J203" s="58">
        <v>2434</v>
      </c>
      <c r="K203" s="58">
        <v>1265</v>
      </c>
      <c r="L203" s="24">
        <v>0.51972062448644196</v>
      </c>
      <c r="N203" s="2" t="s">
        <v>107</v>
      </c>
      <c r="O203" s="2" t="s">
        <v>108</v>
      </c>
      <c r="P203" s="2" t="s">
        <v>193</v>
      </c>
      <c r="Q203" s="2" t="s">
        <v>67</v>
      </c>
      <c r="R203" s="23">
        <v>438</v>
      </c>
      <c r="S203" s="23">
        <v>196</v>
      </c>
      <c r="T203" s="2">
        <v>0.44748858447488499</v>
      </c>
      <c r="U203" s="14" t="str">
        <f>VLOOKUP(flu_staff[[#This Row],[trust_code]],trust_lookup[],3,0)</f>
        <v>King's</v>
      </c>
      <c r="W203" s="2" t="s">
        <v>69</v>
      </c>
      <c r="X203" s="2" t="s">
        <v>70</v>
      </c>
      <c r="Y203" s="2" t="s">
        <v>190</v>
      </c>
      <c r="Z203" s="2" t="s">
        <v>112</v>
      </c>
      <c r="AA203" s="23">
        <v>191</v>
      </c>
      <c r="AB203" s="23">
        <v>53</v>
      </c>
      <c r="AC203" s="24">
        <v>0.27748691099476402</v>
      </c>
      <c r="AD203" s="14" t="str">
        <f>VLOOKUP(flu_eth_ep[[#This Row],[trust_code]],trust_lookup[],3,0)</f>
        <v>ELFT</v>
      </c>
      <c r="AE203" s="14" t="str">
        <f>VLOOKUP(flu_eth_ep[[#This Row],[trust_code]],trust_lookup[],4,0)</f>
        <v>Mental Health &amp; Community</v>
      </c>
    </row>
    <row r="204" spans="2:31" x14ac:dyDescent="0.35">
      <c r="B204" s="2" t="s">
        <v>487</v>
      </c>
      <c r="C204" s="2" t="s">
        <v>488</v>
      </c>
      <c r="D204" s="2" t="s">
        <v>464</v>
      </c>
      <c r="E204" s="2" t="s">
        <v>24</v>
      </c>
      <c r="F204" s="23">
        <v>3214</v>
      </c>
      <c r="G204" s="23">
        <v>1915</v>
      </c>
      <c r="H204" s="24">
        <v>0.59583074051026697</v>
      </c>
      <c r="I204" s="24">
        <v>0.547532083</v>
      </c>
      <c r="J204" s="58">
        <v>717</v>
      </c>
      <c r="K204" s="58">
        <v>442</v>
      </c>
      <c r="L204" s="24">
        <v>0.616457461645746</v>
      </c>
      <c r="N204" s="2" t="s">
        <v>107</v>
      </c>
      <c r="O204" s="2" t="s">
        <v>108</v>
      </c>
      <c r="P204" s="2" t="s">
        <v>193</v>
      </c>
      <c r="Q204" s="2" t="s">
        <v>74</v>
      </c>
      <c r="R204" s="23">
        <v>189</v>
      </c>
      <c r="S204" s="23">
        <v>80</v>
      </c>
      <c r="T204" s="2">
        <v>0.42328042328042298</v>
      </c>
      <c r="U204" s="14" t="str">
        <f>VLOOKUP(flu_staff[[#This Row],[trust_code]],trust_lookup[],3,0)</f>
        <v>King's</v>
      </c>
      <c r="W204" s="2" t="s">
        <v>69</v>
      </c>
      <c r="X204" s="2" t="s">
        <v>70</v>
      </c>
      <c r="Y204" s="2" t="s">
        <v>190</v>
      </c>
      <c r="Z204" s="2" t="s">
        <v>36</v>
      </c>
      <c r="AA204" s="23">
        <v>7</v>
      </c>
      <c r="AB204" s="23">
        <v>0</v>
      </c>
      <c r="AC204" s="24">
        <v>0</v>
      </c>
      <c r="AD204" s="14" t="str">
        <f>VLOOKUP(flu_eth_ep[[#This Row],[trust_code]],trust_lookup[],3,0)</f>
        <v>ELFT</v>
      </c>
      <c r="AE204" s="14" t="str">
        <f>VLOOKUP(flu_eth_ep[[#This Row],[trust_code]],trust_lookup[],4,0)</f>
        <v>Mental Health &amp; Community</v>
      </c>
    </row>
    <row r="205" spans="2:31" x14ac:dyDescent="0.35">
      <c r="B205" s="2" t="s">
        <v>489</v>
      </c>
      <c r="C205" s="2" t="s">
        <v>490</v>
      </c>
      <c r="D205" s="2" t="s">
        <v>464</v>
      </c>
      <c r="E205" s="2" t="s">
        <v>24</v>
      </c>
      <c r="F205" s="23">
        <v>5216</v>
      </c>
      <c r="G205" s="23">
        <v>2418</v>
      </c>
      <c r="H205" s="24">
        <v>0.46357361963190102</v>
      </c>
      <c r="I205" s="24">
        <v>0.44849198899999998</v>
      </c>
      <c r="J205" s="58">
        <v>2200</v>
      </c>
      <c r="K205" s="58">
        <v>1026</v>
      </c>
      <c r="L205" s="24">
        <v>0.46636363636363598</v>
      </c>
      <c r="N205" s="2" t="s">
        <v>118</v>
      </c>
      <c r="O205" s="2" t="s">
        <v>119</v>
      </c>
      <c r="P205" s="2" t="s">
        <v>193</v>
      </c>
      <c r="Q205" s="2" t="s">
        <v>42</v>
      </c>
      <c r="R205" s="23">
        <v>1265</v>
      </c>
      <c r="S205" s="23">
        <v>603</v>
      </c>
      <c r="T205" s="2">
        <v>0.476679841897233</v>
      </c>
      <c r="U205" s="14" t="str">
        <f>VLOOKUP(flu_staff[[#This Row],[trust_code]],trust_lookup[],3,0)</f>
        <v>L&amp;G</v>
      </c>
      <c r="W205" s="2" t="s">
        <v>69</v>
      </c>
      <c r="X205" s="2" t="s">
        <v>70</v>
      </c>
      <c r="Y205" s="2" t="s">
        <v>190</v>
      </c>
      <c r="Z205" s="2" t="s">
        <v>123</v>
      </c>
      <c r="AA205" s="23">
        <v>336</v>
      </c>
      <c r="AB205" s="23">
        <v>115</v>
      </c>
      <c r="AC205" s="24">
        <v>0.34226190476190399</v>
      </c>
      <c r="AD205" s="14" t="str">
        <f>VLOOKUP(flu_eth_ep[[#This Row],[trust_code]],trust_lookup[],3,0)</f>
        <v>ELFT</v>
      </c>
      <c r="AE205" s="14" t="str">
        <f>VLOOKUP(flu_eth_ep[[#This Row],[trust_code]],trust_lookup[],4,0)</f>
        <v>Mental Health &amp; Community</v>
      </c>
    </row>
    <row r="206" spans="2:31" x14ac:dyDescent="0.35">
      <c r="B206" s="2" t="s">
        <v>491</v>
      </c>
      <c r="C206" s="2" t="s">
        <v>492</v>
      </c>
      <c r="D206" s="2" t="s">
        <v>464</v>
      </c>
      <c r="E206" s="2" t="s">
        <v>24</v>
      </c>
      <c r="F206" s="23">
        <v>3122</v>
      </c>
      <c r="G206" s="23">
        <v>1597</v>
      </c>
      <c r="H206" s="24">
        <v>0.511531069827034</v>
      </c>
      <c r="I206" s="24">
        <v>0.49137734799999999</v>
      </c>
      <c r="J206" s="58">
        <v>3381</v>
      </c>
      <c r="K206" s="58">
        <v>1998</v>
      </c>
      <c r="L206" s="24">
        <v>0.59094942324755995</v>
      </c>
      <c r="N206" s="2" t="s">
        <v>118</v>
      </c>
      <c r="O206" s="2" t="s">
        <v>119</v>
      </c>
      <c r="P206" s="2" t="s">
        <v>193</v>
      </c>
      <c r="Q206" s="2" t="s">
        <v>67</v>
      </c>
      <c r="R206" s="23">
        <v>214</v>
      </c>
      <c r="S206" s="23">
        <v>103</v>
      </c>
      <c r="T206" s="2">
        <v>0.48130841121495299</v>
      </c>
      <c r="U206" s="14" t="str">
        <f>VLOOKUP(flu_staff[[#This Row],[trust_code]],trust_lookup[],3,0)</f>
        <v>L&amp;G</v>
      </c>
      <c r="W206" s="2" t="s">
        <v>69</v>
      </c>
      <c r="X206" s="2" t="s">
        <v>70</v>
      </c>
      <c r="Y206" s="2" t="s">
        <v>190</v>
      </c>
      <c r="Z206" s="2" t="s">
        <v>141</v>
      </c>
      <c r="AA206" s="23">
        <v>232</v>
      </c>
      <c r="AB206" s="23">
        <v>78</v>
      </c>
      <c r="AC206" s="24">
        <v>0.33620689655172398</v>
      </c>
      <c r="AD206" s="14" t="str">
        <f>VLOOKUP(flu_eth_ep[[#This Row],[trust_code]],trust_lookup[],3,0)</f>
        <v>ELFT</v>
      </c>
      <c r="AE206" s="14" t="str">
        <f>VLOOKUP(flu_eth_ep[[#This Row],[trust_code]],trust_lookup[],4,0)</f>
        <v>Mental Health &amp; Community</v>
      </c>
    </row>
    <row r="207" spans="2:31" x14ac:dyDescent="0.35">
      <c r="B207" s="2" t="s">
        <v>493</v>
      </c>
      <c r="C207" s="2" t="s">
        <v>494</v>
      </c>
      <c r="D207" s="2" t="s">
        <v>464</v>
      </c>
      <c r="E207" s="2" t="s">
        <v>24</v>
      </c>
      <c r="F207" s="23">
        <v>7616</v>
      </c>
      <c r="G207" s="23">
        <v>3804</v>
      </c>
      <c r="H207" s="24">
        <v>0.499474789915966</v>
      </c>
      <c r="I207" s="24">
        <v>0.506843237</v>
      </c>
      <c r="J207" s="58">
        <v>2123</v>
      </c>
      <c r="K207" s="58">
        <v>1182</v>
      </c>
      <c r="L207" s="24">
        <v>0.55675930287329201</v>
      </c>
      <c r="N207" s="2" t="s">
        <v>118</v>
      </c>
      <c r="O207" s="2" t="s">
        <v>119</v>
      </c>
      <c r="P207" s="2" t="s">
        <v>193</v>
      </c>
      <c r="Q207" s="2" t="s">
        <v>74</v>
      </c>
      <c r="R207" s="23">
        <v>79</v>
      </c>
      <c r="S207" s="23">
        <v>19</v>
      </c>
      <c r="T207" s="2">
        <v>0.240506329113924</v>
      </c>
      <c r="U207" s="14" t="str">
        <f>VLOOKUP(flu_staff[[#This Row],[trust_code]],trust_lookup[],3,0)</f>
        <v>L&amp;G</v>
      </c>
      <c r="W207" s="2" t="s">
        <v>69</v>
      </c>
      <c r="X207" s="2" t="s">
        <v>70</v>
      </c>
      <c r="Y207" s="2" t="s">
        <v>190</v>
      </c>
      <c r="Z207" s="2" t="s">
        <v>135</v>
      </c>
      <c r="AA207" s="23">
        <v>74</v>
      </c>
      <c r="AB207" s="23">
        <v>31</v>
      </c>
      <c r="AC207" s="24">
        <v>0.41891891891891803</v>
      </c>
      <c r="AD207" s="14" t="str">
        <f>VLOOKUP(flu_eth_ep[[#This Row],[trust_code]],trust_lookup[],3,0)</f>
        <v>ELFT</v>
      </c>
      <c r="AE207" s="14" t="str">
        <f>VLOOKUP(flu_eth_ep[[#This Row],[trust_code]],trust_lookup[],4,0)</f>
        <v>Mental Health &amp; Community</v>
      </c>
    </row>
    <row r="208" spans="2:31" x14ac:dyDescent="0.35">
      <c r="B208" s="2" t="s">
        <v>495</v>
      </c>
      <c r="C208" s="2" t="s">
        <v>496</v>
      </c>
      <c r="D208" s="2" t="s">
        <v>464</v>
      </c>
      <c r="E208" s="2" t="s">
        <v>24</v>
      </c>
      <c r="F208" s="23">
        <v>4143</v>
      </c>
      <c r="G208" s="23">
        <v>2243</v>
      </c>
      <c r="H208" s="24">
        <v>0.54139512430605796</v>
      </c>
      <c r="I208" s="24">
        <v>0.57094306500000003</v>
      </c>
      <c r="J208" s="58">
        <v>1123</v>
      </c>
      <c r="K208" s="58">
        <v>707</v>
      </c>
      <c r="L208" s="24">
        <v>0.62956366874443404</v>
      </c>
      <c r="N208" s="2" t="s">
        <v>118</v>
      </c>
      <c r="O208" s="2" t="s">
        <v>119</v>
      </c>
      <c r="P208" s="2" t="s">
        <v>193</v>
      </c>
      <c r="Q208" s="2" t="s">
        <v>53</v>
      </c>
      <c r="R208" s="23">
        <v>2769</v>
      </c>
      <c r="S208" s="23">
        <v>927</v>
      </c>
      <c r="T208" s="2">
        <v>0.33477789815817899</v>
      </c>
      <c r="U208" s="14" t="str">
        <f>VLOOKUP(flu_staff[[#This Row],[trust_code]],trust_lookup[],3,0)</f>
        <v>L&amp;G</v>
      </c>
      <c r="W208" s="2" t="s">
        <v>69</v>
      </c>
      <c r="X208" s="2" t="s">
        <v>70</v>
      </c>
      <c r="Y208" s="2" t="s">
        <v>190</v>
      </c>
      <c r="Z208" s="2" t="s">
        <v>36</v>
      </c>
      <c r="AA208" s="23">
        <v>391</v>
      </c>
      <c r="AB208" s="23">
        <v>100</v>
      </c>
      <c r="AC208" s="24">
        <v>0.25575447570332399</v>
      </c>
      <c r="AD208" s="14" t="str">
        <f>VLOOKUP(flu_eth_ep[[#This Row],[trust_code]],trust_lookup[],3,0)</f>
        <v>ELFT</v>
      </c>
      <c r="AE208" s="14" t="str">
        <f>VLOOKUP(flu_eth_ep[[#This Row],[trust_code]],trust_lookup[],4,0)</f>
        <v>Mental Health &amp; Community</v>
      </c>
    </row>
    <row r="209" spans="2:31" x14ac:dyDescent="0.35">
      <c r="B209" s="2" t="s">
        <v>497</v>
      </c>
      <c r="C209" s="2" t="s">
        <v>498</v>
      </c>
      <c r="D209" s="2" t="s">
        <v>464</v>
      </c>
      <c r="E209" s="2" t="s">
        <v>24</v>
      </c>
      <c r="F209" s="23">
        <v>8078</v>
      </c>
      <c r="G209" s="23">
        <v>4472</v>
      </c>
      <c r="H209" s="24">
        <v>0.55360237682594704</v>
      </c>
      <c r="I209" s="24">
        <v>0.54841068000000004</v>
      </c>
      <c r="J209" s="58">
        <v>1654</v>
      </c>
      <c r="K209" s="58">
        <v>919</v>
      </c>
      <c r="L209" s="24">
        <v>0.55562273276904395</v>
      </c>
      <c r="N209" s="2" t="s">
        <v>118</v>
      </c>
      <c r="O209" s="2" t="s">
        <v>119</v>
      </c>
      <c r="P209" s="2" t="s">
        <v>193</v>
      </c>
      <c r="Q209" s="2" t="s">
        <v>46</v>
      </c>
      <c r="R209" s="23">
        <v>162</v>
      </c>
      <c r="S209" s="23">
        <v>49</v>
      </c>
      <c r="T209" s="2">
        <v>0.30246913580246898</v>
      </c>
      <c r="U209" s="14" t="str">
        <f>VLOOKUP(flu_staff[[#This Row],[trust_code]],trust_lookup[],3,0)</f>
        <v>L&amp;G</v>
      </c>
      <c r="W209" s="2" t="s">
        <v>69</v>
      </c>
      <c r="X209" s="2" t="s">
        <v>70</v>
      </c>
      <c r="Y209" s="2" t="s">
        <v>190</v>
      </c>
      <c r="Z209" s="2" t="s">
        <v>75</v>
      </c>
      <c r="AA209" s="23">
        <v>414</v>
      </c>
      <c r="AB209" s="23">
        <v>92</v>
      </c>
      <c r="AC209" s="24">
        <v>0.22222222222222199</v>
      </c>
      <c r="AD209" s="14" t="str">
        <f>VLOOKUP(flu_eth_ep[[#This Row],[trust_code]],trust_lookup[],3,0)</f>
        <v>ELFT</v>
      </c>
      <c r="AE209" s="14" t="str">
        <f>VLOOKUP(flu_eth_ep[[#This Row],[trust_code]],trust_lookup[],4,0)</f>
        <v>Mental Health &amp; Community</v>
      </c>
    </row>
    <row r="210" spans="2:31" x14ac:dyDescent="0.35">
      <c r="B210" s="2" t="s">
        <v>499</v>
      </c>
      <c r="C210" s="2" t="s">
        <v>500</v>
      </c>
      <c r="D210" s="2" t="s">
        <v>464</v>
      </c>
      <c r="E210" s="2" t="s">
        <v>24</v>
      </c>
      <c r="F210" s="23">
        <v>10989</v>
      </c>
      <c r="G210" s="23">
        <v>6180</v>
      </c>
      <c r="H210" s="24">
        <v>0.562380562380562</v>
      </c>
      <c r="I210" s="24">
        <v>0.48060208199999999</v>
      </c>
      <c r="J210" s="58">
        <v>2779</v>
      </c>
      <c r="K210" s="58">
        <v>1660</v>
      </c>
      <c r="L210" s="24">
        <v>0.59733717164447597</v>
      </c>
      <c r="N210" s="2" t="s">
        <v>118</v>
      </c>
      <c r="O210" s="2" t="s">
        <v>119</v>
      </c>
      <c r="P210" s="2" t="s">
        <v>193</v>
      </c>
      <c r="Q210" s="2" t="s">
        <v>60</v>
      </c>
      <c r="R210" s="23">
        <v>594</v>
      </c>
      <c r="S210" s="23">
        <v>251</v>
      </c>
      <c r="T210" s="2">
        <v>0.42255892255892202</v>
      </c>
      <c r="U210" s="14" t="str">
        <f>VLOOKUP(flu_staff[[#This Row],[trust_code]],trust_lookup[],3,0)</f>
        <v>L&amp;G</v>
      </c>
      <c r="W210" s="2" t="s">
        <v>69</v>
      </c>
      <c r="X210" s="2" t="s">
        <v>70</v>
      </c>
      <c r="Y210" s="2" t="s">
        <v>190</v>
      </c>
      <c r="Z210" s="2" t="s">
        <v>82</v>
      </c>
      <c r="AA210" s="23">
        <v>195</v>
      </c>
      <c r="AB210" s="23">
        <v>27</v>
      </c>
      <c r="AC210" s="24">
        <v>0.138461538461538</v>
      </c>
      <c r="AD210" s="14" t="str">
        <f>VLOOKUP(flu_eth_ep[[#This Row],[trust_code]],trust_lookup[],3,0)</f>
        <v>ELFT</v>
      </c>
      <c r="AE210" s="14" t="str">
        <f>VLOOKUP(flu_eth_ep[[#This Row],[trust_code]],trust_lookup[],4,0)</f>
        <v>Mental Health &amp; Community</v>
      </c>
    </row>
    <row r="211" spans="2:31" x14ac:dyDescent="0.35">
      <c r="N211" s="2" t="s">
        <v>118</v>
      </c>
      <c r="O211" s="2" t="s">
        <v>119</v>
      </c>
      <c r="P211" s="2" t="s">
        <v>193</v>
      </c>
      <c r="Q211" s="2" t="s">
        <v>81</v>
      </c>
      <c r="R211" s="23">
        <v>1518</v>
      </c>
      <c r="S211" s="23">
        <v>407</v>
      </c>
      <c r="T211" s="2">
        <v>0.26811594202898498</v>
      </c>
      <c r="U211" s="14" t="str">
        <f>VLOOKUP(flu_staff[[#This Row],[trust_code]],trust_lookup[],3,0)</f>
        <v>L&amp;G</v>
      </c>
      <c r="W211" s="2" t="s">
        <v>69</v>
      </c>
      <c r="X211" s="2" t="s">
        <v>70</v>
      </c>
      <c r="Y211" s="2" t="s">
        <v>190</v>
      </c>
      <c r="Z211" s="2" t="s">
        <v>100</v>
      </c>
      <c r="AA211" s="23">
        <v>1936</v>
      </c>
      <c r="AB211" s="23">
        <v>479</v>
      </c>
      <c r="AC211" s="24">
        <v>0.24741735537189999</v>
      </c>
      <c r="AD211" s="14" t="str">
        <f>VLOOKUP(flu_eth_ep[[#This Row],[trust_code]],trust_lookup[],3,0)</f>
        <v>ELFT</v>
      </c>
      <c r="AE211" s="14" t="str">
        <f>VLOOKUP(flu_eth_ep[[#This Row],[trust_code]],trust_lookup[],4,0)</f>
        <v>Mental Health &amp; Community</v>
      </c>
    </row>
    <row r="212" spans="2:31" x14ac:dyDescent="0.35">
      <c r="N212" s="2" t="s">
        <v>118</v>
      </c>
      <c r="O212" s="2" t="s">
        <v>119</v>
      </c>
      <c r="P212" s="2" t="s">
        <v>193</v>
      </c>
      <c r="Q212" s="2" t="s">
        <v>28</v>
      </c>
      <c r="R212" s="23">
        <v>32</v>
      </c>
      <c r="S212" s="23">
        <v>7</v>
      </c>
      <c r="T212" s="2">
        <v>0.21875</v>
      </c>
      <c r="U212" s="14" t="str">
        <f>VLOOKUP(flu_staff[[#This Row],[trust_code]],trust_lookup[],3,0)</f>
        <v>L&amp;G</v>
      </c>
      <c r="W212" s="2" t="s">
        <v>69</v>
      </c>
      <c r="X212" s="2" t="s">
        <v>70</v>
      </c>
      <c r="Y212" s="2" t="s">
        <v>190</v>
      </c>
      <c r="Z212" s="2" t="s">
        <v>68</v>
      </c>
      <c r="AA212" s="23">
        <v>1928</v>
      </c>
      <c r="AB212" s="23">
        <v>927</v>
      </c>
      <c r="AC212" s="24">
        <v>0.48080912863070502</v>
      </c>
      <c r="AD212" s="14" t="str">
        <f>VLOOKUP(flu_eth_ep[[#This Row],[trust_code]],trust_lookup[],3,0)</f>
        <v>ELFT</v>
      </c>
      <c r="AE212" s="14" t="str">
        <f>VLOOKUP(flu_eth_ep[[#This Row],[trust_code]],trust_lookup[],4,0)</f>
        <v>Mental Health &amp; Community</v>
      </c>
    </row>
    <row r="213" spans="2:31" x14ac:dyDescent="0.35">
      <c r="N213" s="2" t="s">
        <v>118</v>
      </c>
      <c r="O213" s="2" t="s">
        <v>119</v>
      </c>
      <c r="P213" s="2" t="s">
        <v>193</v>
      </c>
      <c r="Q213" s="2" t="s">
        <v>35</v>
      </c>
      <c r="R213" s="23">
        <v>6</v>
      </c>
      <c r="S213" s="23">
        <v>0</v>
      </c>
      <c r="T213" s="2">
        <v>0</v>
      </c>
      <c r="U213" s="14" t="str">
        <f>VLOOKUP(flu_staff[[#This Row],[trust_code]],trust_lookup[],3,0)</f>
        <v>L&amp;G</v>
      </c>
      <c r="W213" s="2" t="s">
        <v>69</v>
      </c>
      <c r="X213" s="2" t="s">
        <v>70</v>
      </c>
      <c r="Y213" s="2" t="s">
        <v>190</v>
      </c>
      <c r="Z213" s="2" t="s">
        <v>61</v>
      </c>
      <c r="AA213" s="23">
        <v>290</v>
      </c>
      <c r="AB213" s="23">
        <v>52</v>
      </c>
      <c r="AC213" s="24">
        <v>0.17931034482758601</v>
      </c>
      <c r="AD213" s="14" t="str">
        <f>VLOOKUP(flu_eth_ep[[#This Row],[trust_code]],trust_lookup[],3,0)</f>
        <v>ELFT</v>
      </c>
      <c r="AE213" s="14" t="str">
        <f>VLOOKUP(flu_eth_ep[[#This Row],[trust_code]],trust_lookup[],4,0)</f>
        <v>Mental Health &amp; Community</v>
      </c>
    </row>
    <row r="214" spans="2:31" x14ac:dyDescent="0.35">
      <c r="N214" s="2" t="s">
        <v>152</v>
      </c>
      <c r="O214" s="2" t="s">
        <v>153</v>
      </c>
      <c r="P214" s="2" t="s">
        <v>193</v>
      </c>
      <c r="Q214" s="2" t="s">
        <v>46</v>
      </c>
      <c r="R214" s="23">
        <v>2</v>
      </c>
      <c r="S214" s="23">
        <v>0</v>
      </c>
      <c r="T214" s="2">
        <v>0</v>
      </c>
      <c r="U214" s="14" t="str">
        <f>VLOOKUP(flu_staff[[#This Row],[trust_code]],trust_lookup[],3,0)</f>
        <v>Oxleas</v>
      </c>
      <c r="W214" s="2" t="s">
        <v>69</v>
      </c>
      <c r="X214" s="2" t="s">
        <v>70</v>
      </c>
      <c r="Y214" s="2" t="s">
        <v>190</v>
      </c>
      <c r="Z214" s="2" t="s">
        <v>29</v>
      </c>
      <c r="AA214" s="23">
        <v>72</v>
      </c>
      <c r="AB214" s="23">
        <v>23</v>
      </c>
      <c r="AC214" s="24">
        <v>0.31944444444444398</v>
      </c>
      <c r="AD214" s="14" t="str">
        <f>VLOOKUP(flu_eth_ep[[#This Row],[trust_code]],trust_lookup[],3,0)</f>
        <v>ELFT</v>
      </c>
      <c r="AE214" s="14" t="str">
        <f>VLOOKUP(flu_eth_ep[[#This Row],[trust_code]],trust_lookup[],4,0)</f>
        <v>Mental Health &amp; Community</v>
      </c>
    </row>
    <row r="215" spans="2:31" x14ac:dyDescent="0.35">
      <c r="N215" s="2" t="s">
        <v>152</v>
      </c>
      <c r="O215" s="2" t="s">
        <v>153</v>
      </c>
      <c r="P215" s="2" t="s">
        <v>193</v>
      </c>
      <c r="Q215" s="2" t="s">
        <v>67</v>
      </c>
      <c r="R215" s="23">
        <v>393</v>
      </c>
      <c r="S215" s="23">
        <v>147</v>
      </c>
      <c r="T215" s="2">
        <v>0.37404580152671701</v>
      </c>
      <c r="U215" s="14" t="str">
        <f>VLOOKUP(flu_staff[[#This Row],[trust_code]],trust_lookup[],3,0)</f>
        <v>Oxleas</v>
      </c>
      <c r="W215" s="2" t="s">
        <v>69</v>
      </c>
      <c r="X215" s="2" t="s">
        <v>70</v>
      </c>
      <c r="Y215" s="2" t="s">
        <v>190</v>
      </c>
      <c r="Z215" s="2" t="s">
        <v>129</v>
      </c>
      <c r="AA215" s="23">
        <v>66</v>
      </c>
      <c r="AB215" s="23">
        <v>11</v>
      </c>
      <c r="AC215" s="24">
        <v>0.16666666666666599</v>
      </c>
      <c r="AD215" s="14" t="str">
        <f>VLOOKUP(flu_eth_ep[[#This Row],[trust_code]],trust_lookup[],3,0)</f>
        <v>ELFT</v>
      </c>
      <c r="AE215" s="14" t="str">
        <f>VLOOKUP(flu_eth_ep[[#This Row],[trust_code]],trust_lookup[],4,0)</f>
        <v>Mental Health &amp; Community</v>
      </c>
    </row>
    <row r="216" spans="2:31" x14ac:dyDescent="0.35">
      <c r="N216" s="2" t="s">
        <v>152</v>
      </c>
      <c r="O216" s="2" t="s">
        <v>153</v>
      </c>
      <c r="P216" s="2" t="s">
        <v>193</v>
      </c>
      <c r="Q216" s="2" t="s">
        <v>81</v>
      </c>
      <c r="R216" s="23">
        <v>893</v>
      </c>
      <c r="S216" s="23">
        <v>301</v>
      </c>
      <c r="T216" s="2">
        <v>0.337066069428891</v>
      </c>
      <c r="U216" s="14" t="str">
        <f>VLOOKUP(flu_staff[[#This Row],[trust_code]],trust_lookup[],3,0)</f>
        <v>Oxleas</v>
      </c>
      <c r="W216" s="2" t="s">
        <v>69</v>
      </c>
      <c r="X216" s="2" t="s">
        <v>70</v>
      </c>
      <c r="Y216" s="2" t="s">
        <v>190</v>
      </c>
      <c r="Z216" s="2" t="s">
        <v>88</v>
      </c>
      <c r="AA216" s="23">
        <v>272</v>
      </c>
      <c r="AB216" s="23">
        <v>52</v>
      </c>
      <c r="AC216" s="24">
        <v>0.191176470588235</v>
      </c>
      <c r="AD216" s="14" t="str">
        <f>VLOOKUP(flu_eth_ep[[#This Row],[trust_code]],trust_lookup[],3,0)</f>
        <v>ELFT</v>
      </c>
      <c r="AE216" s="14" t="str">
        <f>VLOOKUP(flu_eth_ep[[#This Row],[trust_code]],trust_lookup[],4,0)</f>
        <v>Mental Health &amp; Community</v>
      </c>
    </row>
    <row r="217" spans="2:31" x14ac:dyDescent="0.35">
      <c r="N217" s="2" t="s">
        <v>152</v>
      </c>
      <c r="O217" s="2" t="s">
        <v>153</v>
      </c>
      <c r="P217" s="2" t="s">
        <v>193</v>
      </c>
      <c r="Q217" s="2" t="s">
        <v>74</v>
      </c>
      <c r="R217" s="23">
        <v>0</v>
      </c>
      <c r="S217" s="23">
        <v>0</v>
      </c>
      <c r="U217" s="14" t="str">
        <f>VLOOKUP(flu_staff[[#This Row],[trust_code]],trust_lookup[],3,0)</f>
        <v>Oxleas</v>
      </c>
      <c r="W217" s="2" t="s">
        <v>69</v>
      </c>
      <c r="X217" s="2" t="s">
        <v>70</v>
      </c>
      <c r="Y217" s="2" t="s">
        <v>190</v>
      </c>
      <c r="Z217" s="2" t="s">
        <v>106</v>
      </c>
      <c r="AA217" s="23">
        <v>45</v>
      </c>
      <c r="AB217" s="23">
        <v>15</v>
      </c>
      <c r="AC217" s="24">
        <v>0.33333333333333298</v>
      </c>
      <c r="AD217" s="14" t="str">
        <f>VLOOKUP(flu_eth_ep[[#This Row],[trust_code]],trust_lookup[],3,0)</f>
        <v>ELFT</v>
      </c>
      <c r="AE217" s="14" t="str">
        <f>VLOOKUP(flu_eth_ep[[#This Row],[trust_code]],trust_lookup[],4,0)</f>
        <v>Mental Health &amp; Community</v>
      </c>
    </row>
    <row r="218" spans="2:31" x14ac:dyDescent="0.35">
      <c r="N218" s="2" t="s">
        <v>152</v>
      </c>
      <c r="O218" s="2" t="s">
        <v>153</v>
      </c>
      <c r="P218" s="2" t="s">
        <v>193</v>
      </c>
      <c r="Q218" s="2" t="s">
        <v>35</v>
      </c>
      <c r="R218" s="23">
        <v>9</v>
      </c>
      <c r="S218" s="23">
        <v>3</v>
      </c>
      <c r="T218" s="2">
        <v>0.33333333333333298</v>
      </c>
      <c r="U218" s="14" t="str">
        <f>VLOOKUP(flu_staff[[#This Row],[trust_code]],trust_lookup[],3,0)</f>
        <v>Oxleas</v>
      </c>
      <c r="W218" s="2" t="s">
        <v>69</v>
      </c>
      <c r="X218" s="2" t="s">
        <v>70</v>
      </c>
      <c r="Y218" s="2" t="s">
        <v>190</v>
      </c>
      <c r="Z218" s="2" t="s">
        <v>54</v>
      </c>
      <c r="AA218" s="23">
        <v>559</v>
      </c>
      <c r="AB218" s="23">
        <v>199</v>
      </c>
      <c r="AC218" s="24">
        <v>0.355992844364937</v>
      </c>
      <c r="AD218" s="14" t="str">
        <f>VLOOKUP(flu_eth_ep[[#This Row],[trust_code]],trust_lookup[],3,0)</f>
        <v>ELFT</v>
      </c>
      <c r="AE218" s="14" t="str">
        <f>VLOOKUP(flu_eth_ep[[#This Row],[trust_code]],trust_lookup[],4,0)</f>
        <v>Mental Health &amp; Community</v>
      </c>
    </row>
    <row r="219" spans="2:31" x14ac:dyDescent="0.35">
      <c r="N219" s="2" t="s">
        <v>152</v>
      </c>
      <c r="O219" s="2" t="s">
        <v>153</v>
      </c>
      <c r="P219" s="2" t="s">
        <v>193</v>
      </c>
      <c r="Q219" s="2" t="s">
        <v>28</v>
      </c>
      <c r="R219" s="23">
        <v>4</v>
      </c>
      <c r="S219" s="23">
        <v>0</v>
      </c>
      <c r="T219" s="2">
        <v>0</v>
      </c>
      <c r="U219" s="14" t="str">
        <f>VLOOKUP(flu_staff[[#This Row],[trust_code]],trust_lookup[],3,0)</f>
        <v>Oxleas</v>
      </c>
      <c r="W219" s="2" t="s">
        <v>69</v>
      </c>
      <c r="X219" s="2" t="s">
        <v>70</v>
      </c>
      <c r="Y219" s="2" t="s">
        <v>190</v>
      </c>
      <c r="Z219" s="2" t="s">
        <v>94</v>
      </c>
      <c r="AA219" s="23">
        <v>32</v>
      </c>
      <c r="AB219" s="23">
        <v>15</v>
      </c>
      <c r="AC219" s="24">
        <v>0.46875</v>
      </c>
      <c r="AD219" s="14" t="str">
        <f>VLOOKUP(flu_eth_ep[[#This Row],[trust_code]],trust_lookup[],3,0)</f>
        <v>ELFT</v>
      </c>
      <c r="AE219" s="14" t="str">
        <f>VLOOKUP(flu_eth_ep[[#This Row],[trust_code]],trust_lookup[],4,0)</f>
        <v>Mental Health &amp; Community</v>
      </c>
    </row>
    <row r="220" spans="2:31" x14ac:dyDescent="0.35">
      <c r="N220" s="2" t="s">
        <v>152</v>
      </c>
      <c r="O220" s="2" t="s">
        <v>153</v>
      </c>
      <c r="P220" s="2" t="s">
        <v>193</v>
      </c>
      <c r="Q220" s="2" t="s">
        <v>60</v>
      </c>
      <c r="R220" s="23">
        <v>368</v>
      </c>
      <c r="S220" s="23">
        <v>163</v>
      </c>
      <c r="T220" s="2">
        <v>0.44293478260869501</v>
      </c>
      <c r="U220" s="14" t="str">
        <f>VLOOKUP(flu_staff[[#This Row],[trust_code]],trust_lookup[],3,0)</f>
        <v>Oxleas</v>
      </c>
      <c r="W220" s="2" t="s">
        <v>69</v>
      </c>
      <c r="X220" s="2" t="s">
        <v>70</v>
      </c>
      <c r="Y220" s="2" t="s">
        <v>190</v>
      </c>
      <c r="Z220" s="2" t="s">
        <v>47</v>
      </c>
      <c r="AA220" s="23">
        <v>106</v>
      </c>
      <c r="AB220" s="23">
        <v>15</v>
      </c>
      <c r="AC220" s="24">
        <v>0.14150943396226401</v>
      </c>
      <c r="AD220" s="14" t="str">
        <f>VLOOKUP(flu_eth_ep[[#This Row],[trust_code]],trust_lookup[],3,0)</f>
        <v>ELFT</v>
      </c>
      <c r="AE220" s="14" t="str">
        <f>VLOOKUP(flu_eth_ep[[#This Row],[trust_code]],trust_lookup[],4,0)</f>
        <v>Mental Health &amp; Community</v>
      </c>
    </row>
    <row r="221" spans="2:31" x14ac:dyDescent="0.35">
      <c r="N221" s="2" t="s">
        <v>152</v>
      </c>
      <c r="O221" s="2" t="s">
        <v>153</v>
      </c>
      <c r="P221" s="2" t="s">
        <v>193</v>
      </c>
      <c r="Q221" s="2" t="s">
        <v>53</v>
      </c>
      <c r="R221" s="23">
        <v>1237</v>
      </c>
      <c r="S221" s="23">
        <v>476</v>
      </c>
      <c r="T221" s="2">
        <v>0.38480194017784902</v>
      </c>
      <c r="U221" s="14" t="str">
        <f>VLOOKUP(flu_staff[[#This Row],[trust_code]],trust_lookup[],3,0)</f>
        <v>Oxleas</v>
      </c>
      <c r="W221" s="2" t="s">
        <v>95</v>
      </c>
      <c r="X221" s="2" t="s">
        <v>96</v>
      </c>
      <c r="Y221" s="2" t="s">
        <v>190</v>
      </c>
      <c r="Z221" s="2" t="s">
        <v>106</v>
      </c>
      <c r="AA221" s="23">
        <v>52</v>
      </c>
      <c r="AB221" s="23">
        <v>32</v>
      </c>
      <c r="AC221" s="24">
        <v>0.61538461538461497</v>
      </c>
      <c r="AD221" s="14" t="str">
        <f>VLOOKUP(flu_eth_ep[[#This Row],[trust_code]],trust_lookup[],3,0)</f>
        <v>Homerton</v>
      </c>
      <c r="AE221" s="14" t="str">
        <f>VLOOKUP(flu_eth_ep[[#This Row],[trust_code]],trust_lookup[],4,0)</f>
        <v>Acute</v>
      </c>
    </row>
    <row r="222" spans="2:31" x14ac:dyDescent="0.35">
      <c r="N222" s="2" t="s">
        <v>152</v>
      </c>
      <c r="O222" s="2" t="s">
        <v>153</v>
      </c>
      <c r="P222" s="2" t="s">
        <v>193</v>
      </c>
      <c r="Q222" s="2" t="s">
        <v>42</v>
      </c>
      <c r="R222" s="23">
        <v>153</v>
      </c>
      <c r="S222" s="23">
        <v>76</v>
      </c>
      <c r="T222" s="2">
        <v>0.49673202614378997</v>
      </c>
      <c r="U222" s="14" t="str">
        <f>VLOOKUP(flu_staff[[#This Row],[trust_code]],trust_lookup[],3,0)</f>
        <v>Oxleas</v>
      </c>
      <c r="W222" s="2" t="s">
        <v>95</v>
      </c>
      <c r="X222" s="2" t="s">
        <v>96</v>
      </c>
      <c r="Y222" s="2" t="s">
        <v>190</v>
      </c>
      <c r="Z222" s="2" t="s">
        <v>29</v>
      </c>
      <c r="AA222" s="23">
        <v>63</v>
      </c>
      <c r="AB222" s="23">
        <v>30</v>
      </c>
      <c r="AC222" s="24">
        <v>0.476190476190476</v>
      </c>
      <c r="AD222" s="14" t="str">
        <f>VLOOKUP(flu_eth_ep[[#This Row],[trust_code]],trust_lookup[],3,0)</f>
        <v>Homerton</v>
      </c>
      <c r="AE222" s="14" t="str">
        <f>VLOOKUP(flu_eth_ep[[#This Row],[trust_code]],trust_lookup[],4,0)</f>
        <v>Acute</v>
      </c>
    </row>
    <row r="223" spans="2:31" x14ac:dyDescent="0.35">
      <c r="N223" s="2" t="s">
        <v>164</v>
      </c>
      <c r="O223" s="2" t="s">
        <v>165</v>
      </c>
      <c r="P223" s="2" t="s">
        <v>193</v>
      </c>
      <c r="Q223" s="2" t="s">
        <v>60</v>
      </c>
      <c r="R223" s="23">
        <v>178</v>
      </c>
      <c r="S223" s="23">
        <v>86</v>
      </c>
      <c r="T223" s="2">
        <v>0.48314606741573002</v>
      </c>
      <c r="U223" s="14" t="str">
        <f>VLOOKUP(flu_staff[[#This Row],[trust_code]],trust_lookup[],3,0)</f>
        <v>SLAM</v>
      </c>
      <c r="W223" s="2" t="s">
        <v>95</v>
      </c>
      <c r="X223" s="2" t="s">
        <v>96</v>
      </c>
      <c r="Y223" s="2" t="s">
        <v>190</v>
      </c>
      <c r="Z223" s="2" t="s">
        <v>135</v>
      </c>
      <c r="AA223" s="23">
        <v>60</v>
      </c>
      <c r="AB223" s="23">
        <v>37</v>
      </c>
      <c r="AC223" s="24">
        <v>0.61666666666666603</v>
      </c>
      <c r="AD223" s="14" t="str">
        <f>VLOOKUP(flu_eth_ep[[#This Row],[trust_code]],trust_lookup[],3,0)</f>
        <v>Homerton</v>
      </c>
      <c r="AE223" s="14" t="str">
        <f>VLOOKUP(flu_eth_ep[[#This Row],[trust_code]],trust_lookup[],4,0)</f>
        <v>Acute</v>
      </c>
    </row>
    <row r="224" spans="2:31" x14ac:dyDescent="0.35">
      <c r="N224" s="2" t="s">
        <v>164</v>
      </c>
      <c r="O224" s="2" t="s">
        <v>165</v>
      </c>
      <c r="P224" s="2" t="s">
        <v>193</v>
      </c>
      <c r="Q224" s="2" t="s">
        <v>53</v>
      </c>
      <c r="R224" s="23">
        <v>1096</v>
      </c>
      <c r="S224" s="23">
        <v>366</v>
      </c>
      <c r="T224" s="2">
        <v>0.33394160583941601</v>
      </c>
      <c r="U224" s="14" t="str">
        <f>VLOOKUP(flu_staff[[#This Row],[trust_code]],trust_lookup[],3,0)</f>
        <v>SLAM</v>
      </c>
      <c r="W224" s="2" t="s">
        <v>95</v>
      </c>
      <c r="X224" s="2" t="s">
        <v>96</v>
      </c>
      <c r="Y224" s="2" t="s">
        <v>190</v>
      </c>
      <c r="Z224" s="2" t="s">
        <v>36</v>
      </c>
      <c r="AA224" s="23">
        <v>3</v>
      </c>
      <c r="AB224" s="23">
        <v>1</v>
      </c>
      <c r="AC224" s="24">
        <v>0.33333333333333298</v>
      </c>
      <c r="AD224" s="14" t="str">
        <f>VLOOKUP(flu_eth_ep[[#This Row],[trust_code]],trust_lookup[],3,0)</f>
        <v>Homerton</v>
      </c>
      <c r="AE224" s="14" t="str">
        <f>VLOOKUP(flu_eth_ep[[#This Row],[trust_code]],trust_lookup[],4,0)</f>
        <v>Acute</v>
      </c>
    </row>
    <row r="225" spans="14:31" x14ac:dyDescent="0.35">
      <c r="N225" s="2" t="s">
        <v>164</v>
      </c>
      <c r="O225" s="2" t="s">
        <v>165</v>
      </c>
      <c r="P225" s="2" t="s">
        <v>193</v>
      </c>
      <c r="Q225" s="2" t="s">
        <v>46</v>
      </c>
      <c r="R225" s="23">
        <v>4</v>
      </c>
      <c r="S225" s="23">
        <v>2</v>
      </c>
      <c r="T225" s="2">
        <v>0.5</v>
      </c>
      <c r="U225" s="14" t="str">
        <f>VLOOKUP(flu_staff[[#This Row],[trust_code]],trust_lookup[],3,0)</f>
        <v>SLAM</v>
      </c>
      <c r="W225" s="2" t="s">
        <v>95</v>
      </c>
      <c r="X225" s="2" t="s">
        <v>96</v>
      </c>
      <c r="Y225" s="2" t="s">
        <v>190</v>
      </c>
      <c r="Z225" s="2" t="s">
        <v>94</v>
      </c>
      <c r="AA225" s="23">
        <v>35</v>
      </c>
      <c r="AB225" s="23">
        <v>22</v>
      </c>
      <c r="AC225" s="24">
        <v>0.628571428571428</v>
      </c>
      <c r="AD225" s="14" t="str">
        <f>VLOOKUP(flu_eth_ep[[#This Row],[trust_code]],trust_lookup[],3,0)</f>
        <v>Homerton</v>
      </c>
      <c r="AE225" s="14" t="str">
        <f>VLOOKUP(flu_eth_ep[[#This Row],[trust_code]],trust_lookup[],4,0)</f>
        <v>Acute</v>
      </c>
    </row>
    <row r="226" spans="14:31" x14ac:dyDescent="0.35">
      <c r="N226" s="2" t="s">
        <v>164</v>
      </c>
      <c r="O226" s="2" t="s">
        <v>165</v>
      </c>
      <c r="P226" s="2" t="s">
        <v>193</v>
      </c>
      <c r="Q226" s="2" t="s">
        <v>28</v>
      </c>
      <c r="R226" s="23">
        <v>101</v>
      </c>
      <c r="S226" s="23">
        <v>34</v>
      </c>
      <c r="T226" s="2">
        <v>0.33663366336633599</v>
      </c>
      <c r="U226" s="14" t="str">
        <f>VLOOKUP(flu_staff[[#This Row],[trust_code]],trust_lookup[],3,0)</f>
        <v>SLAM</v>
      </c>
      <c r="W226" s="2" t="s">
        <v>95</v>
      </c>
      <c r="X226" s="2" t="s">
        <v>96</v>
      </c>
      <c r="Y226" s="2" t="s">
        <v>190</v>
      </c>
      <c r="Z226" s="2" t="s">
        <v>61</v>
      </c>
      <c r="AA226" s="23">
        <v>164</v>
      </c>
      <c r="AB226" s="23">
        <v>35</v>
      </c>
      <c r="AC226" s="24">
        <v>0.21341463414634099</v>
      </c>
      <c r="AD226" s="14" t="str">
        <f>VLOOKUP(flu_eth_ep[[#This Row],[trust_code]],trust_lookup[],3,0)</f>
        <v>Homerton</v>
      </c>
      <c r="AE226" s="14" t="str">
        <f>VLOOKUP(flu_eth_ep[[#This Row],[trust_code]],trust_lookup[],4,0)</f>
        <v>Acute</v>
      </c>
    </row>
    <row r="227" spans="14:31" x14ac:dyDescent="0.35">
      <c r="N227" s="2" t="s">
        <v>164</v>
      </c>
      <c r="O227" s="2" t="s">
        <v>165</v>
      </c>
      <c r="P227" s="2" t="s">
        <v>193</v>
      </c>
      <c r="Q227" s="2" t="s">
        <v>35</v>
      </c>
      <c r="R227" s="23">
        <v>14</v>
      </c>
      <c r="S227" s="23">
        <v>7</v>
      </c>
      <c r="T227" s="2">
        <v>0.5</v>
      </c>
      <c r="U227" s="14" t="str">
        <f>VLOOKUP(flu_staff[[#This Row],[trust_code]],trust_lookup[],3,0)</f>
        <v>SLAM</v>
      </c>
      <c r="W227" s="2" t="s">
        <v>95</v>
      </c>
      <c r="X227" s="2" t="s">
        <v>96</v>
      </c>
      <c r="Y227" s="2" t="s">
        <v>190</v>
      </c>
      <c r="Z227" s="2" t="s">
        <v>75</v>
      </c>
      <c r="AA227" s="23">
        <v>189</v>
      </c>
      <c r="AB227" s="23">
        <v>54</v>
      </c>
      <c r="AC227" s="24">
        <v>0.28571428571428498</v>
      </c>
      <c r="AD227" s="14" t="str">
        <f>VLOOKUP(flu_eth_ep[[#This Row],[trust_code]],trust_lookup[],3,0)</f>
        <v>Homerton</v>
      </c>
      <c r="AE227" s="14" t="str">
        <f>VLOOKUP(flu_eth_ep[[#This Row],[trust_code]],trust_lookup[],4,0)</f>
        <v>Acute</v>
      </c>
    </row>
    <row r="228" spans="14:31" x14ac:dyDescent="0.35">
      <c r="N228" s="2" t="s">
        <v>164</v>
      </c>
      <c r="O228" s="2" t="s">
        <v>165</v>
      </c>
      <c r="P228" s="2" t="s">
        <v>193</v>
      </c>
      <c r="Q228" s="2" t="s">
        <v>81</v>
      </c>
      <c r="R228" s="23">
        <v>897</v>
      </c>
      <c r="S228" s="23">
        <v>228</v>
      </c>
      <c r="T228" s="2">
        <v>0.25418060200668802</v>
      </c>
      <c r="U228" s="14" t="str">
        <f>VLOOKUP(flu_staff[[#This Row],[trust_code]],trust_lookup[],3,0)</f>
        <v>SLAM</v>
      </c>
      <c r="W228" s="2" t="s">
        <v>95</v>
      </c>
      <c r="X228" s="2" t="s">
        <v>96</v>
      </c>
      <c r="Y228" s="2" t="s">
        <v>190</v>
      </c>
      <c r="Z228" s="2" t="s">
        <v>123</v>
      </c>
      <c r="AA228" s="23">
        <v>261</v>
      </c>
      <c r="AB228" s="23">
        <v>123</v>
      </c>
      <c r="AC228" s="24">
        <v>0.47126436781609099</v>
      </c>
      <c r="AD228" s="14" t="str">
        <f>VLOOKUP(flu_eth_ep[[#This Row],[trust_code]],trust_lookup[],3,0)</f>
        <v>Homerton</v>
      </c>
      <c r="AE228" s="14" t="str">
        <f>VLOOKUP(flu_eth_ep[[#This Row],[trust_code]],trust_lookup[],4,0)</f>
        <v>Acute</v>
      </c>
    </row>
    <row r="229" spans="14:31" x14ac:dyDescent="0.35">
      <c r="N229" s="2" t="s">
        <v>164</v>
      </c>
      <c r="O229" s="2" t="s">
        <v>165</v>
      </c>
      <c r="P229" s="2" t="s">
        <v>193</v>
      </c>
      <c r="Q229" s="2" t="s">
        <v>42</v>
      </c>
      <c r="R229" s="23">
        <v>502</v>
      </c>
      <c r="S229" s="23">
        <v>279</v>
      </c>
      <c r="T229" s="2">
        <v>0.55577689243027795</v>
      </c>
      <c r="U229" s="14" t="str">
        <f>VLOOKUP(flu_staff[[#This Row],[trust_code]],trust_lookup[],3,0)</f>
        <v>SLAM</v>
      </c>
      <c r="W229" s="2" t="s">
        <v>95</v>
      </c>
      <c r="X229" s="2" t="s">
        <v>96</v>
      </c>
      <c r="Y229" s="2" t="s">
        <v>190</v>
      </c>
      <c r="Z229" s="2" t="s">
        <v>36</v>
      </c>
      <c r="AA229" s="23">
        <v>190</v>
      </c>
      <c r="AB229" s="23">
        <v>90</v>
      </c>
      <c r="AC229" s="24">
        <v>0.47368421052631499</v>
      </c>
      <c r="AD229" s="14" t="str">
        <f>VLOOKUP(flu_eth_ep[[#This Row],[trust_code]],trust_lookup[],3,0)</f>
        <v>Homerton</v>
      </c>
      <c r="AE229" s="14" t="str">
        <f>VLOOKUP(flu_eth_ep[[#This Row],[trust_code]],trust_lookup[],4,0)</f>
        <v>Acute</v>
      </c>
    </row>
    <row r="230" spans="14:31" x14ac:dyDescent="0.35">
      <c r="N230" s="2" t="s">
        <v>164</v>
      </c>
      <c r="O230" s="2" t="s">
        <v>165</v>
      </c>
      <c r="P230" s="2" t="s">
        <v>193</v>
      </c>
      <c r="Q230" s="2" t="s">
        <v>67</v>
      </c>
      <c r="R230" s="23">
        <v>1291</v>
      </c>
      <c r="S230" s="23">
        <v>588</v>
      </c>
      <c r="T230" s="2">
        <v>0.45546088303640497</v>
      </c>
      <c r="U230" s="14" t="str">
        <f>VLOOKUP(flu_staff[[#This Row],[trust_code]],trust_lookup[],3,0)</f>
        <v>SLAM</v>
      </c>
      <c r="W230" s="2" t="s">
        <v>95</v>
      </c>
      <c r="X230" s="2" t="s">
        <v>96</v>
      </c>
      <c r="Y230" s="2" t="s">
        <v>190</v>
      </c>
      <c r="Z230" s="2" t="s">
        <v>88</v>
      </c>
      <c r="AA230" s="23">
        <v>120</v>
      </c>
      <c r="AB230" s="23">
        <v>32</v>
      </c>
      <c r="AC230" s="24">
        <v>0.266666666666666</v>
      </c>
      <c r="AD230" s="14" t="str">
        <f>VLOOKUP(flu_eth_ep[[#This Row],[trust_code]],trust_lookup[],3,0)</f>
        <v>Homerton</v>
      </c>
      <c r="AE230" s="14" t="str">
        <f>VLOOKUP(flu_eth_ep[[#This Row],[trust_code]],trust_lookup[],4,0)</f>
        <v>Acute</v>
      </c>
    </row>
    <row r="231" spans="14:31" x14ac:dyDescent="0.35">
      <c r="N231" s="2" t="s">
        <v>164</v>
      </c>
      <c r="O231" s="2" t="s">
        <v>165</v>
      </c>
      <c r="P231" s="2" t="s">
        <v>193</v>
      </c>
      <c r="Q231" s="2" t="s">
        <v>74</v>
      </c>
      <c r="R231" s="23">
        <v>5</v>
      </c>
      <c r="S231" s="23">
        <v>2</v>
      </c>
      <c r="T231" s="2">
        <v>0.4</v>
      </c>
      <c r="U231" s="14" t="str">
        <f>VLOOKUP(flu_staff[[#This Row],[trust_code]],trust_lookup[],3,0)</f>
        <v>SLAM</v>
      </c>
      <c r="W231" s="2" t="s">
        <v>95</v>
      </c>
      <c r="X231" s="2" t="s">
        <v>96</v>
      </c>
      <c r="Y231" s="2" t="s">
        <v>190</v>
      </c>
      <c r="Z231" s="2" t="s">
        <v>141</v>
      </c>
      <c r="AA231" s="23">
        <v>186</v>
      </c>
      <c r="AB231" s="23">
        <v>95</v>
      </c>
      <c r="AC231" s="24">
        <v>0.510752688172043</v>
      </c>
      <c r="AD231" s="14" t="str">
        <f>VLOOKUP(flu_eth_ep[[#This Row],[trust_code]],trust_lookup[],3,0)</f>
        <v>Homerton</v>
      </c>
      <c r="AE231" s="14" t="str">
        <f>VLOOKUP(flu_eth_ep[[#This Row],[trust_code]],trust_lookup[],4,0)</f>
        <v>Acute</v>
      </c>
    </row>
    <row r="232" spans="14:31" x14ac:dyDescent="0.35">
      <c r="N232" s="2" t="s">
        <v>62</v>
      </c>
      <c r="O232" s="2" t="s">
        <v>63</v>
      </c>
      <c r="P232" s="2" t="s">
        <v>194</v>
      </c>
      <c r="Q232" s="2" t="s">
        <v>35</v>
      </c>
      <c r="R232" s="23">
        <v>13</v>
      </c>
      <c r="S232" s="23">
        <v>0</v>
      </c>
      <c r="T232" s="2">
        <v>0</v>
      </c>
      <c r="U232" s="14" t="str">
        <f>VLOOKUP(flu_staff[[#This Row],[trust_code]],trust_lookup[],3,0)</f>
        <v>Croydon</v>
      </c>
      <c r="W232" s="2" t="s">
        <v>95</v>
      </c>
      <c r="X232" s="2" t="s">
        <v>96</v>
      </c>
      <c r="Y232" s="2" t="s">
        <v>190</v>
      </c>
      <c r="Z232" s="2" t="s">
        <v>129</v>
      </c>
      <c r="AA232" s="23">
        <v>22</v>
      </c>
      <c r="AB232" s="23">
        <v>9</v>
      </c>
      <c r="AC232" s="24">
        <v>0.40909090909090901</v>
      </c>
      <c r="AD232" s="14" t="str">
        <f>VLOOKUP(flu_eth_ep[[#This Row],[trust_code]],trust_lookup[],3,0)</f>
        <v>Homerton</v>
      </c>
      <c r="AE232" s="14" t="str">
        <f>VLOOKUP(flu_eth_ep[[#This Row],[trust_code]],trust_lookup[],4,0)</f>
        <v>Acute</v>
      </c>
    </row>
    <row r="233" spans="14:31" x14ac:dyDescent="0.35">
      <c r="N233" s="2" t="s">
        <v>62</v>
      </c>
      <c r="O233" s="2" t="s">
        <v>63</v>
      </c>
      <c r="P233" s="2" t="s">
        <v>194</v>
      </c>
      <c r="Q233" s="2" t="s">
        <v>53</v>
      </c>
      <c r="R233" s="23">
        <v>1240</v>
      </c>
      <c r="S233" s="23">
        <v>492</v>
      </c>
      <c r="T233" s="2">
        <v>0.396774193548387</v>
      </c>
      <c r="U233" s="14" t="str">
        <f>VLOOKUP(flu_staff[[#This Row],[trust_code]],trust_lookup[],3,0)</f>
        <v>Croydon</v>
      </c>
      <c r="W233" s="2" t="s">
        <v>95</v>
      </c>
      <c r="X233" s="2" t="s">
        <v>96</v>
      </c>
      <c r="Y233" s="2" t="s">
        <v>190</v>
      </c>
      <c r="Z233" s="2" t="s">
        <v>68</v>
      </c>
      <c r="AA233" s="23">
        <v>928</v>
      </c>
      <c r="AB233" s="23">
        <v>578</v>
      </c>
      <c r="AC233" s="24">
        <v>0.62284482758620596</v>
      </c>
      <c r="AD233" s="14" t="str">
        <f>VLOOKUP(flu_eth_ep[[#This Row],[trust_code]],trust_lookup[],3,0)</f>
        <v>Homerton</v>
      </c>
      <c r="AE233" s="14" t="str">
        <f>VLOOKUP(flu_eth_ep[[#This Row],[trust_code]],trust_lookup[],4,0)</f>
        <v>Acute</v>
      </c>
    </row>
    <row r="234" spans="14:31" x14ac:dyDescent="0.35">
      <c r="N234" s="2" t="s">
        <v>62</v>
      </c>
      <c r="O234" s="2" t="s">
        <v>63</v>
      </c>
      <c r="P234" s="2" t="s">
        <v>194</v>
      </c>
      <c r="Q234" s="2" t="s">
        <v>42</v>
      </c>
      <c r="R234" s="23">
        <v>779</v>
      </c>
      <c r="S234" s="23">
        <v>380</v>
      </c>
      <c r="T234" s="2">
        <v>0.48780487804877998</v>
      </c>
      <c r="U234" s="14" t="str">
        <f>VLOOKUP(flu_staff[[#This Row],[trust_code]],trust_lookup[],3,0)</f>
        <v>Croydon</v>
      </c>
      <c r="W234" s="2" t="s">
        <v>95</v>
      </c>
      <c r="X234" s="2" t="s">
        <v>96</v>
      </c>
      <c r="Y234" s="2" t="s">
        <v>190</v>
      </c>
      <c r="Z234" s="2" t="s">
        <v>54</v>
      </c>
      <c r="AA234" s="23">
        <v>402</v>
      </c>
      <c r="AB234" s="23">
        <v>203</v>
      </c>
      <c r="AC234" s="24">
        <v>0.50497512437810899</v>
      </c>
      <c r="AD234" s="14" t="str">
        <f>VLOOKUP(flu_eth_ep[[#This Row],[trust_code]],trust_lookup[],3,0)</f>
        <v>Homerton</v>
      </c>
      <c r="AE234" s="14" t="str">
        <f>VLOOKUP(flu_eth_ep[[#This Row],[trust_code]],trust_lookup[],4,0)</f>
        <v>Acute</v>
      </c>
    </row>
    <row r="235" spans="14:31" x14ac:dyDescent="0.35">
      <c r="N235" s="2" t="s">
        <v>62</v>
      </c>
      <c r="O235" s="2" t="s">
        <v>63</v>
      </c>
      <c r="P235" s="2" t="s">
        <v>194</v>
      </c>
      <c r="Q235" s="2" t="s">
        <v>67</v>
      </c>
      <c r="R235" s="23">
        <v>132</v>
      </c>
      <c r="S235" s="23">
        <v>59</v>
      </c>
      <c r="T235" s="2">
        <v>0.44696969696969602</v>
      </c>
      <c r="U235" s="14" t="str">
        <f>VLOOKUP(flu_staff[[#This Row],[trust_code]],trust_lookup[],3,0)</f>
        <v>Croydon</v>
      </c>
      <c r="W235" s="2" t="s">
        <v>95</v>
      </c>
      <c r="X235" s="2" t="s">
        <v>96</v>
      </c>
      <c r="Y235" s="2" t="s">
        <v>190</v>
      </c>
      <c r="Z235" s="2" t="s">
        <v>100</v>
      </c>
      <c r="AA235" s="23">
        <v>644</v>
      </c>
      <c r="AB235" s="23">
        <v>212</v>
      </c>
      <c r="AC235" s="24">
        <v>0.32919254658385</v>
      </c>
      <c r="AD235" s="14" t="str">
        <f>VLOOKUP(flu_eth_ep[[#This Row],[trust_code]],trust_lookup[],3,0)</f>
        <v>Homerton</v>
      </c>
      <c r="AE235" s="14" t="str">
        <f>VLOOKUP(flu_eth_ep[[#This Row],[trust_code]],trust_lookup[],4,0)</f>
        <v>Acute</v>
      </c>
    </row>
    <row r="236" spans="14:31" x14ac:dyDescent="0.35">
      <c r="N236" s="2" t="s">
        <v>62</v>
      </c>
      <c r="O236" s="2" t="s">
        <v>63</v>
      </c>
      <c r="P236" s="2" t="s">
        <v>194</v>
      </c>
      <c r="Q236" s="2" t="s">
        <v>60</v>
      </c>
      <c r="R236" s="23">
        <v>273</v>
      </c>
      <c r="S236" s="23">
        <v>121</v>
      </c>
      <c r="T236" s="2">
        <v>0.44322344322344298</v>
      </c>
      <c r="U236" s="14" t="str">
        <f>VLOOKUP(flu_staff[[#This Row],[trust_code]],trust_lookup[],3,0)</f>
        <v>Croydon</v>
      </c>
      <c r="W236" s="2" t="s">
        <v>95</v>
      </c>
      <c r="X236" s="2" t="s">
        <v>96</v>
      </c>
      <c r="Y236" s="2" t="s">
        <v>190</v>
      </c>
      <c r="Z236" s="2" t="s">
        <v>82</v>
      </c>
      <c r="AA236" s="23">
        <v>90</v>
      </c>
      <c r="AB236" s="23">
        <v>27</v>
      </c>
      <c r="AC236" s="24">
        <v>0.3</v>
      </c>
      <c r="AD236" s="14" t="str">
        <f>VLOOKUP(flu_eth_ep[[#This Row],[trust_code]],trust_lookup[],3,0)</f>
        <v>Homerton</v>
      </c>
      <c r="AE236" s="14" t="str">
        <f>VLOOKUP(flu_eth_ep[[#This Row],[trust_code]],trust_lookup[],4,0)</f>
        <v>Acute</v>
      </c>
    </row>
    <row r="237" spans="14:31" x14ac:dyDescent="0.35">
      <c r="N237" s="2" t="s">
        <v>62</v>
      </c>
      <c r="O237" s="2" t="s">
        <v>63</v>
      </c>
      <c r="P237" s="2" t="s">
        <v>194</v>
      </c>
      <c r="Q237" s="2" t="s">
        <v>81</v>
      </c>
      <c r="R237" s="23">
        <v>653</v>
      </c>
      <c r="S237" s="23">
        <v>213</v>
      </c>
      <c r="T237" s="2">
        <v>0.32618683001531301</v>
      </c>
      <c r="U237" s="14" t="str">
        <f>VLOOKUP(flu_staff[[#This Row],[trust_code]],trust_lookup[],3,0)</f>
        <v>Croydon</v>
      </c>
      <c r="W237" s="2" t="s">
        <v>95</v>
      </c>
      <c r="X237" s="2" t="s">
        <v>96</v>
      </c>
      <c r="Y237" s="2" t="s">
        <v>190</v>
      </c>
      <c r="Z237" s="2" t="s">
        <v>112</v>
      </c>
      <c r="AA237" s="23">
        <v>216</v>
      </c>
      <c r="AB237" s="23">
        <v>96</v>
      </c>
      <c r="AC237" s="24">
        <v>0.44444444444444398</v>
      </c>
      <c r="AD237" s="14" t="str">
        <f>VLOOKUP(flu_eth_ep[[#This Row],[trust_code]],trust_lookup[],3,0)</f>
        <v>Homerton</v>
      </c>
      <c r="AE237" s="14" t="str">
        <f>VLOOKUP(flu_eth_ep[[#This Row],[trust_code]],trust_lookup[],4,0)</f>
        <v>Acute</v>
      </c>
    </row>
    <row r="238" spans="14:31" x14ac:dyDescent="0.35">
      <c r="N238" s="2" t="s">
        <v>62</v>
      </c>
      <c r="O238" s="2" t="s">
        <v>63</v>
      </c>
      <c r="P238" s="2" t="s">
        <v>194</v>
      </c>
      <c r="Q238" s="2" t="s">
        <v>74</v>
      </c>
      <c r="R238" s="23">
        <v>43</v>
      </c>
      <c r="S238" s="23">
        <v>15</v>
      </c>
      <c r="T238" s="2">
        <v>0.34883720930232498</v>
      </c>
      <c r="U238" s="14" t="str">
        <f>VLOOKUP(flu_staff[[#This Row],[trust_code]],trust_lookup[],3,0)</f>
        <v>Croydon</v>
      </c>
      <c r="W238" s="2" t="s">
        <v>95</v>
      </c>
      <c r="X238" s="2" t="s">
        <v>96</v>
      </c>
      <c r="Y238" s="2" t="s">
        <v>190</v>
      </c>
      <c r="Z238" s="2" t="s">
        <v>47</v>
      </c>
      <c r="AA238" s="23">
        <v>42</v>
      </c>
      <c r="AB238" s="23">
        <v>14</v>
      </c>
      <c r="AC238" s="24">
        <v>0.33333333333333298</v>
      </c>
      <c r="AD238" s="14" t="str">
        <f>VLOOKUP(flu_eth_ep[[#This Row],[trust_code]],trust_lookup[],3,0)</f>
        <v>Homerton</v>
      </c>
      <c r="AE238" s="14" t="str">
        <f>VLOOKUP(flu_eth_ep[[#This Row],[trust_code]],trust_lookup[],4,0)</f>
        <v>Acute</v>
      </c>
    </row>
    <row r="239" spans="14:31" x14ac:dyDescent="0.35">
      <c r="N239" s="2" t="s">
        <v>62</v>
      </c>
      <c r="O239" s="2" t="s">
        <v>63</v>
      </c>
      <c r="P239" s="2" t="s">
        <v>194</v>
      </c>
      <c r="Q239" s="2" t="s">
        <v>28</v>
      </c>
      <c r="R239" s="23">
        <v>130</v>
      </c>
      <c r="S239" s="23">
        <v>46</v>
      </c>
      <c r="T239" s="2">
        <v>0.35384615384615298</v>
      </c>
      <c r="U239" s="14" t="str">
        <f>VLOOKUP(flu_staff[[#This Row],[trust_code]],trust_lookup[],3,0)</f>
        <v>Croydon</v>
      </c>
      <c r="W239" s="2" t="s">
        <v>142</v>
      </c>
      <c r="X239" s="2" t="s">
        <v>143</v>
      </c>
      <c r="Y239" s="2" t="s">
        <v>190</v>
      </c>
      <c r="Z239" s="2" t="s">
        <v>47</v>
      </c>
      <c r="AA239" s="23">
        <v>87</v>
      </c>
      <c r="AB239" s="23">
        <v>22</v>
      </c>
      <c r="AC239" s="24">
        <v>0.25287356321839</v>
      </c>
      <c r="AD239" s="14" t="str">
        <f>VLOOKUP(flu_eth_ep[[#This Row],[trust_code]],trust_lookup[],3,0)</f>
        <v>NELFT</v>
      </c>
      <c r="AE239" s="14" t="str">
        <f>VLOOKUP(flu_eth_ep[[#This Row],[trust_code]],trust_lookup[],4,0)</f>
        <v>Mental Health &amp; Community</v>
      </c>
    </row>
    <row r="240" spans="14:31" x14ac:dyDescent="0.35">
      <c r="N240" s="2" t="s">
        <v>62</v>
      </c>
      <c r="O240" s="2" t="s">
        <v>63</v>
      </c>
      <c r="P240" s="2" t="s">
        <v>194</v>
      </c>
      <c r="Q240" s="2" t="s">
        <v>46</v>
      </c>
      <c r="R240" s="23">
        <v>82</v>
      </c>
      <c r="S240" s="23">
        <v>24</v>
      </c>
      <c r="T240" s="2">
        <v>0.292682926829268</v>
      </c>
      <c r="U240" s="14" t="str">
        <f>VLOOKUP(flu_staff[[#This Row],[trust_code]],trust_lookup[],3,0)</f>
        <v>Croydon</v>
      </c>
      <c r="W240" s="2" t="s">
        <v>142</v>
      </c>
      <c r="X240" s="2" t="s">
        <v>143</v>
      </c>
      <c r="Y240" s="2" t="s">
        <v>190</v>
      </c>
      <c r="Z240" s="2" t="s">
        <v>82</v>
      </c>
      <c r="AA240" s="23">
        <v>153</v>
      </c>
      <c r="AB240" s="23">
        <v>41</v>
      </c>
      <c r="AC240" s="24">
        <v>0.26797385620914999</v>
      </c>
      <c r="AD240" s="14" t="str">
        <f>VLOOKUP(flu_eth_ep[[#This Row],[trust_code]],trust_lookup[],3,0)</f>
        <v>NELFT</v>
      </c>
      <c r="AE240" s="14" t="str">
        <f>VLOOKUP(flu_eth_ep[[#This Row],[trust_code]],trust_lookup[],4,0)</f>
        <v>Mental Health &amp; Community</v>
      </c>
    </row>
    <row r="241" spans="14:31" x14ac:dyDescent="0.35">
      <c r="N241" s="2" t="s">
        <v>76</v>
      </c>
      <c r="O241" s="2" t="s">
        <v>77</v>
      </c>
      <c r="P241" s="2" t="s">
        <v>194</v>
      </c>
      <c r="Q241" s="2" t="s">
        <v>28</v>
      </c>
      <c r="R241" s="23">
        <v>378</v>
      </c>
      <c r="S241" s="23">
        <v>155</v>
      </c>
      <c r="T241" s="2">
        <v>0.41005291005291</v>
      </c>
      <c r="U241" s="14" t="str">
        <f>VLOOKUP(flu_staff[[#This Row],[trust_code]],trust_lookup[],3,0)</f>
        <v>Epsom</v>
      </c>
      <c r="W241" s="2" t="s">
        <v>142</v>
      </c>
      <c r="X241" s="2" t="s">
        <v>143</v>
      </c>
      <c r="Y241" s="2" t="s">
        <v>190</v>
      </c>
      <c r="Z241" s="2" t="s">
        <v>123</v>
      </c>
      <c r="AA241" s="23">
        <v>377</v>
      </c>
      <c r="AB241" s="23">
        <v>129</v>
      </c>
      <c r="AC241" s="24">
        <v>0.34217506631299699</v>
      </c>
      <c r="AD241" s="14" t="str">
        <f>VLOOKUP(flu_eth_ep[[#This Row],[trust_code]],trust_lookup[],3,0)</f>
        <v>NELFT</v>
      </c>
      <c r="AE241" s="14" t="str">
        <f>VLOOKUP(flu_eth_ep[[#This Row],[trust_code]],trust_lookup[],4,0)</f>
        <v>Mental Health &amp; Community</v>
      </c>
    </row>
    <row r="242" spans="14:31" x14ac:dyDescent="0.35">
      <c r="N242" s="2" t="s">
        <v>76</v>
      </c>
      <c r="O242" s="2" t="s">
        <v>77</v>
      </c>
      <c r="P242" s="2" t="s">
        <v>194</v>
      </c>
      <c r="Q242" s="2" t="s">
        <v>42</v>
      </c>
      <c r="R242" s="23">
        <v>1088</v>
      </c>
      <c r="S242" s="23">
        <v>599</v>
      </c>
      <c r="T242" s="2">
        <v>0.55055147058823495</v>
      </c>
      <c r="U242" s="14" t="str">
        <f>VLOOKUP(flu_staff[[#This Row],[trust_code]],trust_lookup[],3,0)</f>
        <v>Epsom</v>
      </c>
      <c r="W242" s="2" t="s">
        <v>142</v>
      </c>
      <c r="X242" s="2" t="s">
        <v>143</v>
      </c>
      <c r="Y242" s="2" t="s">
        <v>190</v>
      </c>
      <c r="Z242" s="2" t="s">
        <v>36</v>
      </c>
      <c r="AA242" s="23">
        <v>315</v>
      </c>
      <c r="AB242" s="23">
        <v>94</v>
      </c>
      <c r="AC242" s="24">
        <v>0.29841269841269802</v>
      </c>
      <c r="AD242" s="14" t="str">
        <f>VLOOKUP(flu_eth_ep[[#This Row],[trust_code]],trust_lookup[],3,0)</f>
        <v>NELFT</v>
      </c>
      <c r="AE242" s="14" t="str">
        <f>VLOOKUP(flu_eth_ep[[#This Row],[trust_code]],trust_lookup[],4,0)</f>
        <v>Mental Health &amp; Community</v>
      </c>
    </row>
    <row r="243" spans="14:31" x14ac:dyDescent="0.35">
      <c r="N243" s="2" t="s">
        <v>76</v>
      </c>
      <c r="O243" s="2" t="s">
        <v>77</v>
      </c>
      <c r="P243" s="2" t="s">
        <v>194</v>
      </c>
      <c r="Q243" s="2" t="s">
        <v>46</v>
      </c>
      <c r="R243" s="23">
        <v>88</v>
      </c>
      <c r="S243" s="23">
        <v>32</v>
      </c>
      <c r="T243" s="2">
        <v>0.36363636363636298</v>
      </c>
      <c r="U243" s="14" t="str">
        <f>VLOOKUP(flu_staff[[#This Row],[trust_code]],trust_lookup[],3,0)</f>
        <v>Epsom</v>
      </c>
      <c r="W243" s="2" t="s">
        <v>142</v>
      </c>
      <c r="X243" s="2" t="s">
        <v>143</v>
      </c>
      <c r="Y243" s="2" t="s">
        <v>190</v>
      </c>
      <c r="Z243" s="2" t="s">
        <v>135</v>
      </c>
      <c r="AA243" s="23">
        <v>63</v>
      </c>
      <c r="AB243" s="23">
        <v>29</v>
      </c>
      <c r="AC243" s="24">
        <v>0.46031746031746001</v>
      </c>
      <c r="AD243" s="14" t="str">
        <f>VLOOKUP(flu_eth_ep[[#This Row],[trust_code]],trust_lookup[],3,0)</f>
        <v>NELFT</v>
      </c>
      <c r="AE243" s="14" t="str">
        <f>VLOOKUP(flu_eth_ep[[#This Row],[trust_code]],trust_lookup[],4,0)</f>
        <v>Mental Health &amp; Community</v>
      </c>
    </row>
    <row r="244" spans="14:31" x14ac:dyDescent="0.35">
      <c r="N244" s="2" t="s">
        <v>76</v>
      </c>
      <c r="O244" s="2" t="s">
        <v>77</v>
      </c>
      <c r="P244" s="2" t="s">
        <v>194</v>
      </c>
      <c r="Q244" s="2" t="s">
        <v>67</v>
      </c>
      <c r="R244" s="23">
        <v>132</v>
      </c>
      <c r="S244" s="23">
        <v>64</v>
      </c>
      <c r="T244" s="2">
        <v>0.48484848484848397</v>
      </c>
      <c r="U244" s="14" t="str">
        <f>VLOOKUP(flu_staff[[#This Row],[trust_code]],trust_lookup[],3,0)</f>
        <v>Epsom</v>
      </c>
      <c r="W244" s="2" t="s">
        <v>142</v>
      </c>
      <c r="X244" s="2" t="s">
        <v>143</v>
      </c>
      <c r="Y244" s="2" t="s">
        <v>190</v>
      </c>
      <c r="Z244" s="2" t="s">
        <v>75</v>
      </c>
      <c r="AA244" s="23">
        <v>288</v>
      </c>
      <c r="AB244" s="23">
        <v>63</v>
      </c>
      <c r="AC244" s="24">
        <v>0.21875</v>
      </c>
      <c r="AD244" s="14" t="str">
        <f>VLOOKUP(flu_eth_ep[[#This Row],[trust_code]],trust_lookup[],3,0)</f>
        <v>NELFT</v>
      </c>
      <c r="AE244" s="14" t="str">
        <f>VLOOKUP(flu_eth_ep[[#This Row],[trust_code]],trust_lookup[],4,0)</f>
        <v>Mental Health &amp; Community</v>
      </c>
    </row>
    <row r="245" spans="14:31" x14ac:dyDescent="0.35">
      <c r="N245" s="2" t="s">
        <v>76</v>
      </c>
      <c r="O245" s="2" t="s">
        <v>77</v>
      </c>
      <c r="P245" s="2" t="s">
        <v>194</v>
      </c>
      <c r="Q245" s="2" t="s">
        <v>60</v>
      </c>
      <c r="R245" s="23">
        <v>583</v>
      </c>
      <c r="S245" s="23">
        <v>299</v>
      </c>
      <c r="T245" s="2">
        <v>0.51286449399656897</v>
      </c>
      <c r="U245" s="14" t="str">
        <f>VLOOKUP(flu_staff[[#This Row],[trust_code]],trust_lookup[],3,0)</f>
        <v>Epsom</v>
      </c>
      <c r="W245" s="2" t="s">
        <v>142</v>
      </c>
      <c r="X245" s="2" t="s">
        <v>143</v>
      </c>
      <c r="Y245" s="2" t="s">
        <v>190</v>
      </c>
      <c r="Z245" s="2" t="s">
        <v>100</v>
      </c>
      <c r="AA245" s="23">
        <v>1336</v>
      </c>
      <c r="AB245" s="23">
        <v>342</v>
      </c>
      <c r="AC245" s="24">
        <v>0.25598802395209502</v>
      </c>
      <c r="AD245" s="14" t="str">
        <f>VLOOKUP(flu_eth_ep[[#This Row],[trust_code]],trust_lookup[],3,0)</f>
        <v>NELFT</v>
      </c>
      <c r="AE245" s="14" t="str">
        <f>VLOOKUP(flu_eth_ep[[#This Row],[trust_code]],trust_lookup[],4,0)</f>
        <v>Mental Health &amp; Community</v>
      </c>
    </row>
    <row r="246" spans="14:31" x14ac:dyDescent="0.35">
      <c r="N246" s="2" t="s">
        <v>76</v>
      </c>
      <c r="O246" s="2" t="s">
        <v>77</v>
      </c>
      <c r="P246" s="2" t="s">
        <v>194</v>
      </c>
      <c r="Q246" s="2" t="s">
        <v>81</v>
      </c>
      <c r="R246" s="23">
        <v>1553</v>
      </c>
      <c r="S246" s="23">
        <v>545</v>
      </c>
      <c r="T246" s="2">
        <v>0.35093367675466802</v>
      </c>
      <c r="U246" s="14" t="str">
        <f>VLOOKUP(flu_staff[[#This Row],[trust_code]],trust_lookup[],3,0)</f>
        <v>Epsom</v>
      </c>
      <c r="W246" s="2" t="s">
        <v>142</v>
      </c>
      <c r="X246" s="2" t="s">
        <v>143</v>
      </c>
      <c r="Y246" s="2" t="s">
        <v>190</v>
      </c>
      <c r="Z246" s="2" t="s">
        <v>129</v>
      </c>
      <c r="AA246" s="23">
        <v>38</v>
      </c>
      <c r="AB246" s="23">
        <v>12</v>
      </c>
      <c r="AC246" s="24">
        <v>0.31578947368421001</v>
      </c>
      <c r="AD246" s="14" t="str">
        <f>VLOOKUP(flu_eth_ep[[#This Row],[trust_code]],trust_lookup[],3,0)</f>
        <v>NELFT</v>
      </c>
      <c r="AE246" s="14" t="str">
        <f>VLOOKUP(flu_eth_ep[[#This Row],[trust_code]],trust_lookup[],4,0)</f>
        <v>Mental Health &amp; Community</v>
      </c>
    </row>
    <row r="247" spans="14:31" x14ac:dyDescent="0.35">
      <c r="N247" s="2" t="s">
        <v>76</v>
      </c>
      <c r="O247" s="2" t="s">
        <v>77</v>
      </c>
      <c r="P247" s="2" t="s">
        <v>194</v>
      </c>
      <c r="Q247" s="2" t="s">
        <v>53</v>
      </c>
      <c r="R247" s="23">
        <v>2032</v>
      </c>
      <c r="S247" s="23">
        <v>911</v>
      </c>
      <c r="T247" s="2">
        <v>0.44832677165354301</v>
      </c>
      <c r="U247" s="14" t="str">
        <f>VLOOKUP(flu_staff[[#This Row],[trust_code]],trust_lookup[],3,0)</f>
        <v>Epsom</v>
      </c>
      <c r="W247" s="2" t="s">
        <v>142</v>
      </c>
      <c r="X247" s="2" t="s">
        <v>143</v>
      </c>
      <c r="Y247" s="2" t="s">
        <v>190</v>
      </c>
      <c r="Z247" s="2" t="s">
        <v>94</v>
      </c>
      <c r="AA247" s="23">
        <v>26</v>
      </c>
      <c r="AB247" s="23">
        <v>10</v>
      </c>
      <c r="AC247" s="24">
        <v>0.38461538461538403</v>
      </c>
      <c r="AD247" s="14" t="str">
        <f>VLOOKUP(flu_eth_ep[[#This Row],[trust_code]],trust_lookup[],3,0)</f>
        <v>NELFT</v>
      </c>
      <c r="AE247" s="14" t="str">
        <f>VLOOKUP(flu_eth_ep[[#This Row],[trust_code]],trust_lookup[],4,0)</f>
        <v>Mental Health &amp; Community</v>
      </c>
    </row>
    <row r="248" spans="14:31" x14ac:dyDescent="0.35">
      <c r="N248" s="2" t="s">
        <v>76</v>
      </c>
      <c r="O248" s="2" t="s">
        <v>77</v>
      </c>
      <c r="P248" s="2" t="s">
        <v>194</v>
      </c>
      <c r="Q248" s="2" t="s">
        <v>74</v>
      </c>
      <c r="R248" s="23">
        <v>73</v>
      </c>
      <c r="S248" s="23">
        <v>43</v>
      </c>
      <c r="T248" s="2">
        <v>0.58904109589041098</v>
      </c>
      <c r="U248" s="14" t="str">
        <f>VLOOKUP(flu_staff[[#This Row],[trust_code]],trust_lookup[],3,0)</f>
        <v>Epsom</v>
      </c>
      <c r="W248" s="2" t="s">
        <v>142</v>
      </c>
      <c r="X248" s="2" t="s">
        <v>143</v>
      </c>
      <c r="Y248" s="2" t="s">
        <v>190</v>
      </c>
      <c r="Z248" s="2" t="s">
        <v>29</v>
      </c>
      <c r="AA248" s="23">
        <v>62</v>
      </c>
      <c r="AB248" s="23">
        <v>15</v>
      </c>
      <c r="AC248" s="24">
        <v>0.241935483870967</v>
      </c>
      <c r="AD248" s="14" t="str">
        <f>VLOOKUP(flu_eth_ep[[#This Row],[trust_code]],trust_lookup[],3,0)</f>
        <v>NELFT</v>
      </c>
      <c r="AE248" s="14" t="str">
        <f>VLOOKUP(flu_eth_ep[[#This Row],[trust_code]],trust_lookup[],4,0)</f>
        <v>Mental Health &amp; Community</v>
      </c>
    </row>
    <row r="249" spans="14:31" x14ac:dyDescent="0.35">
      <c r="N249" s="2" t="s">
        <v>76</v>
      </c>
      <c r="O249" s="2" t="s">
        <v>77</v>
      </c>
      <c r="P249" s="2" t="s">
        <v>194</v>
      </c>
      <c r="Q249" s="2" t="s">
        <v>35</v>
      </c>
      <c r="R249" s="23">
        <v>7</v>
      </c>
      <c r="S249" s="23">
        <v>1</v>
      </c>
      <c r="T249" s="2">
        <v>0.14285714285714199</v>
      </c>
      <c r="U249" s="14" t="str">
        <f>VLOOKUP(flu_staff[[#This Row],[trust_code]],trust_lookup[],3,0)</f>
        <v>Epsom</v>
      </c>
      <c r="W249" s="2" t="s">
        <v>142</v>
      </c>
      <c r="X249" s="2" t="s">
        <v>143</v>
      </c>
      <c r="Y249" s="2" t="s">
        <v>190</v>
      </c>
      <c r="Z249" s="2" t="s">
        <v>61</v>
      </c>
      <c r="AA249" s="23">
        <v>185</v>
      </c>
      <c r="AB249" s="23">
        <v>31</v>
      </c>
      <c r="AC249" s="24">
        <v>0.16756756756756699</v>
      </c>
      <c r="AD249" s="14" t="str">
        <f>VLOOKUP(flu_eth_ep[[#This Row],[trust_code]],trust_lookup[],3,0)</f>
        <v>NELFT</v>
      </c>
      <c r="AE249" s="14" t="str">
        <f>VLOOKUP(flu_eth_ep[[#This Row],[trust_code]],trust_lookup[],4,0)</f>
        <v>Mental Health &amp; Community</v>
      </c>
    </row>
    <row r="250" spans="14:31" x14ac:dyDescent="0.35">
      <c r="N250" s="2" t="s">
        <v>113</v>
      </c>
      <c r="O250" s="2" t="s">
        <v>114</v>
      </c>
      <c r="P250" s="2" t="s">
        <v>194</v>
      </c>
      <c r="Q250" s="2" t="s">
        <v>67</v>
      </c>
      <c r="R250" s="23">
        <v>115</v>
      </c>
      <c r="S250" s="23">
        <v>60</v>
      </c>
      <c r="T250" s="2">
        <v>0.52173913043478204</v>
      </c>
      <c r="U250" s="14" t="str">
        <f>VLOOKUP(flu_staff[[#This Row],[trust_code]],trust_lookup[],3,0)</f>
        <v>K&amp;R FT</v>
      </c>
      <c r="W250" s="2" t="s">
        <v>142</v>
      </c>
      <c r="X250" s="2" t="s">
        <v>143</v>
      </c>
      <c r="Y250" s="2" t="s">
        <v>190</v>
      </c>
      <c r="Z250" s="2" t="s">
        <v>106</v>
      </c>
      <c r="AA250" s="23">
        <v>39</v>
      </c>
      <c r="AB250" s="23">
        <v>24</v>
      </c>
      <c r="AC250" s="24">
        <v>0.61538461538461497</v>
      </c>
      <c r="AD250" s="14" t="str">
        <f>VLOOKUP(flu_eth_ep[[#This Row],[trust_code]],trust_lookup[],3,0)</f>
        <v>NELFT</v>
      </c>
      <c r="AE250" s="14" t="str">
        <f>VLOOKUP(flu_eth_ep[[#This Row],[trust_code]],trust_lookup[],4,0)</f>
        <v>Mental Health &amp; Community</v>
      </c>
    </row>
    <row r="251" spans="14:31" x14ac:dyDescent="0.35">
      <c r="N251" s="2" t="s">
        <v>113</v>
      </c>
      <c r="O251" s="2" t="s">
        <v>114</v>
      </c>
      <c r="P251" s="2" t="s">
        <v>194</v>
      </c>
      <c r="Q251" s="2" t="s">
        <v>46</v>
      </c>
      <c r="R251" s="23">
        <v>117</v>
      </c>
      <c r="S251" s="23">
        <v>61</v>
      </c>
      <c r="T251" s="2">
        <v>0.52136752136752096</v>
      </c>
      <c r="U251" s="14" t="str">
        <f>VLOOKUP(flu_staff[[#This Row],[trust_code]],trust_lookup[],3,0)</f>
        <v>K&amp;R FT</v>
      </c>
      <c r="W251" s="2" t="s">
        <v>142</v>
      </c>
      <c r="X251" s="2" t="s">
        <v>143</v>
      </c>
      <c r="Y251" s="2" t="s">
        <v>190</v>
      </c>
      <c r="Z251" s="2" t="s">
        <v>54</v>
      </c>
      <c r="AA251" s="23">
        <v>412</v>
      </c>
      <c r="AB251" s="23">
        <v>141</v>
      </c>
      <c r="AC251" s="24">
        <v>0.34223300970873699</v>
      </c>
      <c r="AD251" s="14" t="str">
        <f>VLOOKUP(flu_eth_ep[[#This Row],[trust_code]],trust_lookup[],3,0)</f>
        <v>NELFT</v>
      </c>
      <c r="AE251" s="14" t="str">
        <f>VLOOKUP(flu_eth_ep[[#This Row],[trust_code]],trust_lookup[],4,0)</f>
        <v>Mental Health &amp; Community</v>
      </c>
    </row>
    <row r="252" spans="14:31" x14ac:dyDescent="0.35">
      <c r="N252" s="2" t="s">
        <v>113</v>
      </c>
      <c r="O252" s="2" t="s">
        <v>114</v>
      </c>
      <c r="P252" s="2" t="s">
        <v>194</v>
      </c>
      <c r="Q252" s="2" t="s">
        <v>81</v>
      </c>
      <c r="R252" s="23">
        <v>720</v>
      </c>
      <c r="S252" s="23">
        <v>232</v>
      </c>
      <c r="T252" s="2">
        <v>0.32222222222222202</v>
      </c>
      <c r="U252" s="14" t="str">
        <f>VLOOKUP(flu_staff[[#This Row],[trust_code]],trust_lookup[],3,0)</f>
        <v>K&amp;R FT</v>
      </c>
      <c r="W252" s="2" t="s">
        <v>142</v>
      </c>
      <c r="X252" s="2" t="s">
        <v>143</v>
      </c>
      <c r="Y252" s="2" t="s">
        <v>190</v>
      </c>
      <c r="Z252" s="2" t="s">
        <v>88</v>
      </c>
      <c r="AA252" s="23">
        <v>156</v>
      </c>
      <c r="AB252" s="23">
        <v>30</v>
      </c>
      <c r="AC252" s="24">
        <v>0.19230769230769201</v>
      </c>
      <c r="AD252" s="14" t="str">
        <f>VLOOKUP(flu_eth_ep[[#This Row],[trust_code]],trust_lookup[],3,0)</f>
        <v>NELFT</v>
      </c>
      <c r="AE252" s="14" t="str">
        <f>VLOOKUP(flu_eth_ep[[#This Row],[trust_code]],trust_lookup[],4,0)</f>
        <v>Mental Health &amp; Community</v>
      </c>
    </row>
    <row r="253" spans="14:31" x14ac:dyDescent="0.35">
      <c r="N253" s="2" t="s">
        <v>113</v>
      </c>
      <c r="O253" s="2" t="s">
        <v>114</v>
      </c>
      <c r="P253" s="2" t="s">
        <v>194</v>
      </c>
      <c r="Q253" s="2" t="s">
        <v>42</v>
      </c>
      <c r="R253" s="23">
        <v>822</v>
      </c>
      <c r="S253" s="23">
        <v>461</v>
      </c>
      <c r="T253" s="2">
        <v>0.56082725060827199</v>
      </c>
      <c r="U253" s="14" t="str">
        <f>VLOOKUP(flu_staff[[#This Row],[trust_code]],trust_lookup[],3,0)</f>
        <v>K&amp;R FT</v>
      </c>
      <c r="W253" s="2" t="s">
        <v>142</v>
      </c>
      <c r="X253" s="2" t="s">
        <v>143</v>
      </c>
      <c r="Y253" s="2" t="s">
        <v>190</v>
      </c>
      <c r="Z253" s="2" t="s">
        <v>68</v>
      </c>
      <c r="AA253" s="23">
        <v>2067</v>
      </c>
      <c r="AB253" s="23">
        <v>858</v>
      </c>
      <c r="AC253" s="24">
        <v>0.41509433962264097</v>
      </c>
      <c r="AD253" s="14" t="str">
        <f>VLOOKUP(flu_eth_ep[[#This Row],[trust_code]],trust_lookup[],3,0)</f>
        <v>NELFT</v>
      </c>
      <c r="AE253" s="14" t="str">
        <f>VLOOKUP(flu_eth_ep[[#This Row],[trust_code]],trust_lookup[],4,0)</f>
        <v>Mental Health &amp; Community</v>
      </c>
    </row>
    <row r="254" spans="14:31" x14ac:dyDescent="0.35">
      <c r="N254" s="2" t="s">
        <v>113</v>
      </c>
      <c r="O254" s="2" t="s">
        <v>114</v>
      </c>
      <c r="P254" s="2" t="s">
        <v>194</v>
      </c>
      <c r="Q254" s="2" t="s">
        <v>53</v>
      </c>
      <c r="R254" s="23">
        <v>1494</v>
      </c>
      <c r="S254" s="23">
        <v>705</v>
      </c>
      <c r="T254" s="2">
        <v>0.47188755020080297</v>
      </c>
      <c r="U254" s="14" t="str">
        <f>VLOOKUP(flu_staff[[#This Row],[trust_code]],trust_lookup[],3,0)</f>
        <v>K&amp;R FT</v>
      </c>
      <c r="W254" s="2" t="s">
        <v>142</v>
      </c>
      <c r="X254" s="2" t="s">
        <v>143</v>
      </c>
      <c r="Y254" s="2" t="s">
        <v>190</v>
      </c>
      <c r="Z254" s="2" t="s">
        <v>112</v>
      </c>
      <c r="AA254" s="23">
        <v>189</v>
      </c>
      <c r="AB254" s="23">
        <v>60</v>
      </c>
      <c r="AC254" s="24">
        <v>0.317460317460317</v>
      </c>
      <c r="AD254" s="14" t="str">
        <f>VLOOKUP(flu_eth_ep[[#This Row],[trust_code]],trust_lookup[],3,0)</f>
        <v>NELFT</v>
      </c>
      <c r="AE254" s="14" t="str">
        <f>VLOOKUP(flu_eth_ep[[#This Row],[trust_code]],trust_lookup[],4,0)</f>
        <v>Mental Health &amp; Community</v>
      </c>
    </row>
    <row r="255" spans="14:31" x14ac:dyDescent="0.35">
      <c r="N255" s="2" t="s">
        <v>113</v>
      </c>
      <c r="O255" s="2" t="s">
        <v>114</v>
      </c>
      <c r="P255" s="2" t="s">
        <v>194</v>
      </c>
      <c r="Q255" s="2" t="s">
        <v>74</v>
      </c>
      <c r="R255" s="23">
        <v>82</v>
      </c>
      <c r="S255" s="23">
        <v>45</v>
      </c>
      <c r="T255" s="2">
        <v>0.54878048780487798</v>
      </c>
      <c r="U255" s="14" t="str">
        <f>VLOOKUP(flu_staff[[#This Row],[trust_code]],trust_lookup[],3,0)</f>
        <v>K&amp;R FT</v>
      </c>
      <c r="W255" s="2" t="s">
        <v>142</v>
      </c>
      <c r="X255" s="2" t="s">
        <v>143</v>
      </c>
      <c r="Y255" s="2" t="s">
        <v>190</v>
      </c>
      <c r="Z255" s="2" t="s">
        <v>141</v>
      </c>
      <c r="AA255" s="23">
        <v>248</v>
      </c>
      <c r="AB255" s="23">
        <v>80</v>
      </c>
      <c r="AC255" s="24">
        <v>0.32258064516128998</v>
      </c>
      <c r="AD255" s="14" t="str">
        <f>VLOOKUP(flu_eth_ep[[#This Row],[trust_code]],trust_lookup[],3,0)</f>
        <v>NELFT</v>
      </c>
      <c r="AE255" s="14" t="str">
        <f>VLOOKUP(flu_eth_ep[[#This Row],[trust_code]],trust_lookup[],4,0)</f>
        <v>Mental Health &amp; Community</v>
      </c>
    </row>
    <row r="256" spans="14:31" x14ac:dyDescent="0.35">
      <c r="N256" s="2" t="s">
        <v>113</v>
      </c>
      <c r="O256" s="2" t="s">
        <v>114</v>
      </c>
      <c r="P256" s="2" t="s">
        <v>194</v>
      </c>
      <c r="Q256" s="2" t="s">
        <v>60</v>
      </c>
      <c r="R256" s="23">
        <v>372</v>
      </c>
      <c r="S256" s="23">
        <v>169</v>
      </c>
      <c r="T256" s="2">
        <v>0.45430107526881702</v>
      </c>
      <c r="U256" s="14" t="str">
        <f>VLOOKUP(flu_staff[[#This Row],[trust_code]],trust_lookup[],3,0)</f>
        <v>K&amp;R FT</v>
      </c>
      <c r="W256" s="2" t="s">
        <v>142</v>
      </c>
      <c r="X256" s="2" t="s">
        <v>143</v>
      </c>
      <c r="Y256" s="2" t="s">
        <v>190</v>
      </c>
      <c r="Z256" s="2" t="s">
        <v>36</v>
      </c>
      <c r="AA256" s="23">
        <v>2</v>
      </c>
      <c r="AB256" s="23">
        <v>0</v>
      </c>
      <c r="AC256" s="24">
        <v>0</v>
      </c>
      <c r="AD256" s="14" t="str">
        <f>VLOOKUP(flu_eth_ep[[#This Row],[trust_code]],trust_lookup[],3,0)</f>
        <v>NELFT</v>
      </c>
      <c r="AE256" s="14" t="str">
        <f>VLOOKUP(flu_eth_ep[[#This Row],[trust_code]],trust_lookup[],4,0)</f>
        <v>Mental Health &amp; Community</v>
      </c>
    </row>
    <row r="257" spans="14:31" x14ac:dyDescent="0.35">
      <c r="N257" s="2" t="s">
        <v>113</v>
      </c>
      <c r="O257" s="2" t="s">
        <v>114</v>
      </c>
      <c r="P257" s="2" t="s">
        <v>194</v>
      </c>
      <c r="Q257" s="2" t="s">
        <v>28</v>
      </c>
      <c r="R257" s="23">
        <v>72</v>
      </c>
      <c r="S257" s="23">
        <v>24</v>
      </c>
      <c r="T257" s="2">
        <v>0.33333333333333298</v>
      </c>
      <c r="U257" s="14" t="str">
        <f>VLOOKUP(flu_staff[[#This Row],[trust_code]],trust_lookup[],3,0)</f>
        <v>K&amp;R FT</v>
      </c>
      <c r="W257" s="2" t="s">
        <v>48</v>
      </c>
      <c r="X257" s="2" t="s">
        <v>49</v>
      </c>
      <c r="Y257" s="2" t="s">
        <v>192</v>
      </c>
      <c r="Z257" s="2" t="s">
        <v>36</v>
      </c>
      <c r="AA257" s="23">
        <v>290</v>
      </c>
      <c r="AB257" s="23">
        <v>112</v>
      </c>
      <c r="AC257" s="24">
        <v>0.38620689655172402</v>
      </c>
      <c r="AD257" s="14" t="str">
        <f>VLOOKUP(flu_eth_ep[[#This Row],[trust_code]],trust_lookup[],3,0)</f>
        <v>CLCH</v>
      </c>
      <c r="AE257" s="14" t="str">
        <f>VLOOKUP(flu_eth_ep[[#This Row],[trust_code]],trust_lookup[],4,0)</f>
        <v>Community</v>
      </c>
    </row>
    <row r="258" spans="14:31" x14ac:dyDescent="0.35">
      <c r="N258" s="2" t="s">
        <v>113</v>
      </c>
      <c r="O258" s="2" t="s">
        <v>114</v>
      </c>
      <c r="P258" s="2" t="s">
        <v>194</v>
      </c>
      <c r="Q258" s="2" t="s">
        <v>35</v>
      </c>
      <c r="R258" s="23">
        <v>7</v>
      </c>
      <c r="S258" s="23">
        <v>2</v>
      </c>
      <c r="T258" s="2">
        <v>0.28571428571428498</v>
      </c>
      <c r="U258" s="14" t="str">
        <f>VLOOKUP(flu_staff[[#This Row],[trust_code]],trust_lookup[],3,0)</f>
        <v>K&amp;R FT</v>
      </c>
      <c r="W258" s="2" t="s">
        <v>48</v>
      </c>
      <c r="X258" s="2" t="s">
        <v>49</v>
      </c>
      <c r="Y258" s="2" t="s">
        <v>192</v>
      </c>
      <c r="Z258" s="2" t="s">
        <v>61</v>
      </c>
      <c r="AA258" s="23">
        <v>253</v>
      </c>
      <c r="AB258" s="23">
        <v>60</v>
      </c>
      <c r="AC258" s="24">
        <v>0.23715415019762801</v>
      </c>
      <c r="AD258" s="14" t="str">
        <f>VLOOKUP(flu_eth_ep[[#This Row],[trust_code]],trust_lookup[],3,0)</f>
        <v>CLCH</v>
      </c>
      <c r="AE258" s="14" t="str">
        <f>VLOOKUP(flu_eth_ep[[#This Row],[trust_code]],trust_lookup[],4,0)</f>
        <v>Community</v>
      </c>
    </row>
    <row r="259" spans="14:31" x14ac:dyDescent="0.35">
      <c r="N259" s="2" t="s">
        <v>167</v>
      </c>
      <c r="O259" s="2" t="s">
        <v>168</v>
      </c>
      <c r="P259" s="2" t="s">
        <v>194</v>
      </c>
      <c r="Q259" s="2" t="s">
        <v>81</v>
      </c>
      <c r="R259" s="23">
        <v>892</v>
      </c>
      <c r="S259" s="23">
        <v>241</v>
      </c>
      <c r="T259" s="2">
        <v>0.27017937219730898</v>
      </c>
      <c r="U259" s="14" t="str">
        <f>VLOOKUP(flu_staff[[#This Row],[trust_code]],trust_lookup[],3,0)</f>
        <v>SWL&amp;StG</v>
      </c>
      <c r="W259" s="2" t="s">
        <v>48</v>
      </c>
      <c r="X259" s="2" t="s">
        <v>49</v>
      </c>
      <c r="Y259" s="2" t="s">
        <v>192</v>
      </c>
      <c r="Z259" s="2" t="s">
        <v>47</v>
      </c>
      <c r="AA259" s="23">
        <v>71</v>
      </c>
      <c r="AB259" s="23">
        <v>15</v>
      </c>
      <c r="AC259" s="24">
        <v>0.21126760563380201</v>
      </c>
      <c r="AD259" s="14" t="str">
        <f>VLOOKUP(flu_eth_ep[[#This Row],[trust_code]],trust_lookup[],3,0)</f>
        <v>CLCH</v>
      </c>
      <c r="AE259" s="14" t="str">
        <f>VLOOKUP(flu_eth_ep[[#This Row],[trust_code]],trust_lookup[],4,0)</f>
        <v>Community</v>
      </c>
    </row>
    <row r="260" spans="14:31" x14ac:dyDescent="0.35">
      <c r="N260" s="2" t="s">
        <v>167</v>
      </c>
      <c r="O260" s="2" t="s">
        <v>168</v>
      </c>
      <c r="P260" s="2" t="s">
        <v>194</v>
      </c>
      <c r="Q260" s="2" t="s">
        <v>42</v>
      </c>
      <c r="R260" s="23">
        <v>201</v>
      </c>
      <c r="S260" s="23">
        <v>109</v>
      </c>
      <c r="T260" s="2">
        <v>0.54228855721392999</v>
      </c>
      <c r="U260" s="14" t="str">
        <f>VLOOKUP(flu_staff[[#This Row],[trust_code]],trust_lookup[],3,0)</f>
        <v>SWL&amp;StG</v>
      </c>
      <c r="W260" s="2" t="s">
        <v>48</v>
      </c>
      <c r="X260" s="2" t="s">
        <v>49</v>
      </c>
      <c r="Y260" s="2" t="s">
        <v>192</v>
      </c>
      <c r="Z260" s="2" t="s">
        <v>29</v>
      </c>
      <c r="AA260" s="23">
        <v>58</v>
      </c>
      <c r="AB260" s="23">
        <v>19</v>
      </c>
      <c r="AC260" s="24">
        <v>0.32758620689655099</v>
      </c>
      <c r="AD260" s="14" t="str">
        <f>VLOOKUP(flu_eth_ep[[#This Row],[trust_code]],trust_lookup[],3,0)</f>
        <v>CLCH</v>
      </c>
      <c r="AE260" s="14" t="str">
        <f>VLOOKUP(flu_eth_ep[[#This Row],[trust_code]],trust_lookup[],4,0)</f>
        <v>Community</v>
      </c>
    </row>
    <row r="261" spans="14:31" x14ac:dyDescent="0.35">
      <c r="N261" s="2" t="s">
        <v>167</v>
      </c>
      <c r="O261" s="2" t="s">
        <v>168</v>
      </c>
      <c r="P261" s="2" t="s">
        <v>194</v>
      </c>
      <c r="Q261" s="2" t="s">
        <v>46</v>
      </c>
      <c r="R261" s="23">
        <v>5</v>
      </c>
      <c r="S261" s="23">
        <v>0</v>
      </c>
      <c r="T261" s="2">
        <v>0</v>
      </c>
      <c r="U261" s="14" t="str">
        <f>VLOOKUP(flu_staff[[#This Row],[trust_code]],trust_lookup[],3,0)</f>
        <v>SWL&amp;StG</v>
      </c>
      <c r="W261" s="2" t="s">
        <v>48</v>
      </c>
      <c r="X261" s="2" t="s">
        <v>49</v>
      </c>
      <c r="Y261" s="2" t="s">
        <v>192</v>
      </c>
      <c r="Z261" s="2" t="s">
        <v>82</v>
      </c>
      <c r="AA261" s="23">
        <v>50</v>
      </c>
      <c r="AB261" s="23">
        <v>13</v>
      </c>
      <c r="AC261" s="24">
        <v>0.26</v>
      </c>
      <c r="AD261" s="14" t="str">
        <f>VLOOKUP(flu_eth_ep[[#This Row],[trust_code]],trust_lookup[],3,0)</f>
        <v>CLCH</v>
      </c>
      <c r="AE261" s="14" t="str">
        <f>VLOOKUP(flu_eth_ep[[#This Row],[trust_code]],trust_lookup[],4,0)</f>
        <v>Community</v>
      </c>
    </row>
    <row r="262" spans="14:31" x14ac:dyDescent="0.35">
      <c r="N262" s="2" t="s">
        <v>167</v>
      </c>
      <c r="O262" s="2" t="s">
        <v>168</v>
      </c>
      <c r="P262" s="2" t="s">
        <v>194</v>
      </c>
      <c r="Q262" s="2" t="s">
        <v>60</v>
      </c>
      <c r="R262" s="23">
        <v>118</v>
      </c>
      <c r="S262" s="23">
        <v>56</v>
      </c>
      <c r="T262" s="2">
        <v>0.47457627118644002</v>
      </c>
      <c r="U262" s="14" t="str">
        <f>VLOOKUP(flu_staff[[#This Row],[trust_code]],trust_lookup[],3,0)</f>
        <v>SWL&amp;StG</v>
      </c>
      <c r="W262" s="2" t="s">
        <v>48</v>
      </c>
      <c r="X262" s="2" t="s">
        <v>49</v>
      </c>
      <c r="Y262" s="2" t="s">
        <v>192</v>
      </c>
      <c r="Z262" s="2" t="s">
        <v>135</v>
      </c>
      <c r="AA262" s="23">
        <v>77</v>
      </c>
      <c r="AB262" s="23">
        <v>36</v>
      </c>
      <c r="AC262" s="24">
        <v>0.46753246753246702</v>
      </c>
      <c r="AD262" s="14" t="str">
        <f>VLOOKUP(flu_eth_ep[[#This Row],[trust_code]],trust_lookup[],3,0)</f>
        <v>CLCH</v>
      </c>
      <c r="AE262" s="14" t="str">
        <f>VLOOKUP(flu_eth_ep[[#This Row],[trust_code]],trust_lookup[],4,0)</f>
        <v>Community</v>
      </c>
    </row>
    <row r="263" spans="14:31" x14ac:dyDescent="0.35">
      <c r="N263" s="2" t="s">
        <v>167</v>
      </c>
      <c r="O263" s="2" t="s">
        <v>168</v>
      </c>
      <c r="P263" s="2" t="s">
        <v>194</v>
      </c>
      <c r="Q263" s="2" t="s">
        <v>67</v>
      </c>
      <c r="R263" s="23">
        <v>399</v>
      </c>
      <c r="S263" s="23">
        <v>174</v>
      </c>
      <c r="T263" s="2">
        <v>0.43609022556390897</v>
      </c>
      <c r="U263" s="14" t="str">
        <f>VLOOKUP(flu_staff[[#This Row],[trust_code]],trust_lookup[],3,0)</f>
        <v>SWL&amp;StG</v>
      </c>
      <c r="W263" s="2" t="s">
        <v>48</v>
      </c>
      <c r="X263" s="2" t="s">
        <v>49</v>
      </c>
      <c r="Y263" s="2" t="s">
        <v>192</v>
      </c>
      <c r="Z263" s="2" t="s">
        <v>106</v>
      </c>
      <c r="AA263" s="23">
        <v>34</v>
      </c>
      <c r="AB263" s="23">
        <v>15</v>
      </c>
      <c r="AC263" s="24">
        <v>0.441176470588235</v>
      </c>
      <c r="AD263" s="14" t="str">
        <f>VLOOKUP(flu_eth_ep[[#This Row],[trust_code]],trust_lookup[],3,0)</f>
        <v>CLCH</v>
      </c>
      <c r="AE263" s="14" t="str">
        <f>VLOOKUP(flu_eth_ep[[#This Row],[trust_code]],trust_lookup[],4,0)</f>
        <v>Community</v>
      </c>
    </row>
    <row r="264" spans="14:31" x14ac:dyDescent="0.35">
      <c r="N264" s="2" t="s">
        <v>167</v>
      </c>
      <c r="O264" s="2" t="s">
        <v>168</v>
      </c>
      <c r="P264" s="2" t="s">
        <v>194</v>
      </c>
      <c r="Q264" s="2" t="s">
        <v>53</v>
      </c>
      <c r="R264" s="23">
        <v>796</v>
      </c>
      <c r="S264" s="23">
        <v>271</v>
      </c>
      <c r="T264" s="2">
        <v>0.340452261306532</v>
      </c>
      <c r="U264" s="14" t="str">
        <f>VLOOKUP(flu_staff[[#This Row],[trust_code]],trust_lookup[],3,0)</f>
        <v>SWL&amp;StG</v>
      </c>
      <c r="W264" s="2" t="s">
        <v>48</v>
      </c>
      <c r="X264" s="2" t="s">
        <v>49</v>
      </c>
      <c r="Y264" s="2" t="s">
        <v>192</v>
      </c>
      <c r="Z264" s="2" t="s">
        <v>68</v>
      </c>
      <c r="AA264" s="23">
        <v>1097</v>
      </c>
      <c r="AB264" s="23">
        <v>558</v>
      </c>
      <c r="AC264" s="24">
        <v>0.50865998176845895</v>
      </c>
      <c r="AD264" s="14" t="str">
        <f>VLOOKUP(flu_eth_ep[[#This Row],[trust_code]],trust_lookup[],3,0)</f>
        <v>CLCH</v>
      </c>
      <c r="AE264" s="14" t="str">
        <f>VLOOKUP(flu_eth_ep[[#This Row],[trust_code]],trust_lookup[],4,0)</f>
        <v>Community</v>
      </c>
    </row>
    <row r="265" spans="14:31" x14ac:dyDescent="0.35">
      <c r="N265" s="2" t="s">
        <v>167</v>
      </c>
      <c r="O265" s="2" t="s">
        <v>168</v>
      </c>
      <c r="P265" s="2" t="s">
        <v>194</v>
      </c>
      <c r="Q265" s="2" t="s">
        <v>28</v>
      </c>
      <c r="R265" s="23">
        <v>28</v>
      </c>
      <c r="S265" s="23">
        <v>6</v>
      </c>
      <c r="T265" s="2">
        <v>0.214285714285714</v>
      </c>
      <c r="U265" s="14" t="str">
        <f>VLOOKUP(flu_staff[[#This Row],[trust_code]],trust_lookup[],3,0)</f>
        <v>SWL&amp;StG</v>
      </c>
      <c r="W265" s="2" t="s">
        <v>48</v>
      </c>
      <c r="X265" s="2" t="s">
        <v>49</v>
      </c>
      <c r="Y265" s="2" t="s">
        <v>192</v>
      </c>
      <c r="Z265" s="2" t="s">
        <v>129</v>
      </c>
      <c r="AA265" s="23">
        <v>50</v>
      </c>
      <c r="AB265" s="23">
        <v>12</v>
      </c>
      <c r="AC265" s="24">
        <v>0.24</v>
      </c>
      <c r="AD265" s="14" t="str">
        <f>VLOOKUP(flu_eth_ep[[#This Row],[trust_code]],trust_lookup[],3,0)</f>
        <v>CLCH</v>
      </c>
      <c r="AE265" s="14" t="str">
        <f>VLOOKUP(flu_eth_ep[[#This Row],[trust_code]],trust_lookup[],4,0)</f>
        <v>Community</v>
      </c>
    </row>
    <row r="266" spans="14:31" x14ac:dyDescent="0.35">
      <c r="N266" s="2" t="s">
        <v>167</v>
      </c>
      <c r="O266" s="2" t="s">
        <v>168</v>
      </c>
      <c r="P266" s="2" t="s">
        <v>194</v>
      </c>
      <c r="Q266" s="2" t="s">
        <v>74</v>
      </c>
      <c r="R266" s="23">
        <v>1</v>
      </c>
      <c r="S266" s="23">
        <v>1</v>
      </c>
      <c r="T266" s="2">
        <v>1</v>
      </c>
      <c r="U266" s="14" t="str">
        <f>VLOOKUP(flu_staff[[#This Row],[trust_code]],trust_lookup[],3,0)</f>
        <v>SWL&amp;StG</v>
      </c>
      <c r="W266" s="2" t="s">
        <v>48</v>
      </c>
      <c r="X266" s="2" t="s">
        <v>49</v>
      </c>
      <c r="Y266" s="2" t="s">
        <v>192</v>
      </c>
      <c r="Z266" s="2" t="s">
        <v>94</v>
      </c>
      <c r="AA266" s="23">
        <v>22</v>
      </c>
      <c r="AB266" s="23">
        <v>13</v>
      </c>
      <c r="AC266" s="24">
        <v>0.59090909090909005</v>
      </c>
      <c r="AD266" s="14" t="str">
        <f>VLOOKUP(flu_eth_ep[[#This Row],[trust_code]],trust_lookup[],3,0)</f>
        <v>CLCH</v>
      </c>
      <c r="AE266" s="14" t="str">
        <f>VLOOKUP(flu_eth_ep[[#This Row],[trust_code]],trust_lookup[],4,0)</f>
        <v>Community</v>
      </c>
    </row>
    <row r="267" spans="14:31" x14ac:dyDescent="0.35">
      <c r="N267" s="2" t="s">
        <v>167</v>
      </c>
      <c r="O267" s="2" t="s">
        <v>168</v>
      </c>
      <c r="P267" s="2" t="s">
        <v>194</v>
      </c>
      <c r="Q267" s="2" t="s">
        <v>35</v>
      </c>
      <c r="R267" s="23">
        <v>14</v>
      </c>
      <c r="S267" s="23">
        <v>3</v>
      </c>
      <c r="T267" s="2">
        <v>0.214285714285714</v>
      </c>
      <c r="U267" s="14" t="str">
        <f>VLOOKUP(flu_staff[[#This Row],[trust_code]],trust_lookup[],3,0)</f>
        <v>SWL&amp;StG</v>
      </c>
      <c r="W267" s="2" t="s">
        <v>48</v>
      </c>
      <c r="X267" s="2" t="s">
        <v>49</v>
      </c>
      <c r="Y267" s="2" t="s">
        <v>192</v>
      </c>
      <c r="Z267" s="2" t="s">
        <v>88</v>
      </c>
      <c r="AA267" s="23">
        <v>30</v>
      </c>
      <c r="AB267" s="23">
        <v>9</v>
      </c>
      <c r="AC267" s="24">
        <v>0.3</v>
      </c>
      <c r="AD267" s="14" t="str">
        <f>VLOOKUP(flu_eth_ep[[#This Row],[trust_code]],trust_lookup[],3,0)</f>
        <v>CLCH</v>
      </c>
      <c r="AE267" s="14" t="str">
        <f>VLOOKUP(flu_eth_ep[[#This Row],[trust_code]],trust_lookup[],4,0)</f>
        <v>Community</v>
      </c>
    </row>
    <row r="268" spans="14:31" x14ac:dyDescent="0.35">
      <c r="N268" s="2" t="s">
        <v>170</v>
      </c>
      <c r="O268" s="2" t="s">
        <v>171</v>
      </c>
      <c r="P268" s="2" t="s">
        <v>194</v>
      </c>
      <c r="Q268" s="2" t="s">
        <v>42</v>
      </c>
      <c r="R268" s="23">
        <v>1465</v>
      </c>
      <c r="S268" s="23">
        <v>810</v>
      </c>
      <c r="T268" s="2">
        <v>0.55290102389078499</v>
      </c>
      <c r="U268" s="14" t="str">
        <f>VLOOKUP(flu_staff[[#This Row],[trust_code]],trust_lookup[],3,0)</f>
        <v>St George's</v>
      </c>
      <c r="W268" s="2" t="s">
        <v>48</v>
      </c>
      <c r="X268" s="2" t="s">
        <v>49</v>
      </c>
      <c r="Y268" s="2" t="s">
        <v>192</v>
      </c>
      <c r="Z268" s="2" t="s">
        <v>112</v>
      </c>
      <c r="AA268" s="23">
        <v>212</v>
      </c>
      <c r="AB268" s="23">
        <v>78</v>
      </c>
      <c r="AC268" s="24">
        <v>0.36792452830188599</v>
      </c>
      <c r="AD268" s="14" t="str">
        <f>VLOOKUP(flu_eth_ep[[#This Row],[trust_code]],trust_lookup[],3,0)</f>
        <v>CLCH</v>
      </c>
      <c r="AE268" s="14" t="str">
        <f>VLOOKUP(flu_eth_ep[[#This Row],[trust_code]],trust_lookup[],4,0)</f>
        <v>Community</v>
      </c>
    </row>
    <row r="269" spans="14:31" x14ac:dyDescent="0.35">
      <c r="N269" s="2" t="s">
        <v>170</v>
      </c>
      <c r="O269" s="2" t="s">
        <v>171</v>
      </c>
      <c r="P269" s="2" t="s">
        <v>194</v>
      </c>
      <c r="Q269" s="2" t="s">
        <v>81</v>
      </c>
      <c r="R269" s="23">
        <v>897</v>
      </c>
      <c r="S269" s="23">
        <v>211</v>
      </c>
      <c r="T269" s="2">
        <v>0.235228539576365</v>
      </c>
      <c r="U269" s="14" t="str">
        <f>VLOOKUP(flu_staff[[#This Row],[trust_code]],trust_lookup[],3,0)</f>
        <v>St George's</v>
      </c>
      <c r="W269" s="2" t="s">
        <v>48</v>
      </c>
      <c r="X269" s="2" t="s">
        <v>49</v>
      </c>
      <c r="Y269" s="2" t="s">
        <v>192</v>
      </c>
      <c r="Z269" s="2" t="s">
        <v>100</v>
      </c>
      <c r="AA269" s="23">
        <v>586</v>
      </c>
      <c r="AB269" s="23">
        <v>148</v>
      </c>
      <c r="AC269" s="24">
        <v>0.25255972696245699</v>
      </c>
      <c r="AD269" s="14" t="str">
        <f>VLOOKUP(flu_eth_ep[[#This Row],[trust_code]],trust_lookup[],3,0)</f>
        <v>CLCH</v>
      </c>
      <c r="AE269" s="14" t="str">
        <f>VLOOKUP(flu_eth_ep[[#This Row],[trust_code]],trust_lookup[],4,0)</f>
        <v>Community</v>
      </c>
    </row>
    <row r="270" spans="14:31" x14ac:dyDescent="0.35">
      <c r="N270" s="2" t="s">
        <v>170</v>
      </c>
      <c r="O270" s="2" t="s">
        <v>171</v>
      </c>
      <c r="P270" s="2" t="s">
        <v>194</v>
      </c>
      <c r="Q270" s="2" t="s">
        <v>53</v>
      </c>
      <c r="R270" s="23">
        <v>2574</v>
      </c>
      <c r="S270" s="23">
        <v>1053</v>
      </c>
      <c r="T270" s="2">
        <v>0.40909090909090901</v>
      </c>
      <c r="U270" s="14" t="str">
        <f>VLOOKUP(flu_staff[[#This Row],[trust_code]],trust_lookup[],3,0)</f>
        <v>St George's</v>
      </c>
      <c r="W270" s="2" t="s">
        <v>48</v>
      </c>
      <c r="X270" s="2" t="s">
        <v>49</v>
      </c>
      <c r="Y270" s="2" t="s">
        <v>192</v>
      </c>
      <c r="Z270" s="2" t="s">
        <v>123</v>
      </c>
      <c r="AA270" s="23">
        <v>383</v>
      </c>
      <c r="AB270" s="23">
        <v>131</v>
      </c>
      <c r="AC270" s="24">
        <v>0.342036553524804</v>
      </c>
      <c r="AD270" s="14" t="str">
        <f>VLOOKUP(flu_eth_ep[[#This Row],[trust_code]],trust_lookup[],3,0)</f>
        <v>CLCH</v>
      </c>
      <c r="AE270" s="14" t="str">
        <f>VLOOKUP(flu_eth_ep[[#This Row],[trust_code]],trust_lookup[],4,0)</f>
        <v>Community</v>
      </c>
    </row>
    <row r="271" spans="14:31" x14ac:dyDescent="0.35">
      <c r="N271" s="2" t="s">
        <v>170</v>
      </c>
      <c r="O271" s="2" t="s">
        <v>171</v>
      </c>
      <c r="P271" s="2" t="s">
        <v>194</v>
      </c>
      <c r="Q271" s="2" t="s">
        <v>60</v>
      </c>
      <c r="R271" s="23">
        <v>612</v>
      </c>
      <c r="S271" s="23">
        <v>291</v>
      </c>
      <c r="T271" s="2">
        <v>0.47549019607843102</v>
      </c>
      <c r="U271" s="14" t="str">
        <f>VLOOKUP(flu_staff[[#This Row],[trust_code]],trust_lookup[],3,0)</f>
        <v>St George's</v>
      </c>
      <c r="W271" s="2" t="s">
        <v>48</v>
      </c>
      <c r="X271" s="2" t="s">
        <v>49</v>
      </c>
      <c r="Y271" s="2" t="s">
        <v>192</v>
      </c>
      <c r="Z271" s="2" t="s">
        <v>75</v>
      </c>
      <c r="AA271" s="23">
        <v>184</v>
      </c>
      <c r="AB271" s="23">
        <v>39</v>
      </c>
      <c r="AC271" s="24">
        <v>0.21195652173912999</v>
      </c>
      <c r="AD271" s="14" t="str">
        <f>VLOOKUP(flu_eth_ep[[#This Row],[trust_code]],trust_lookup[],3,0)</f>
        <v>CLCH</v>
      </c>
      <c r="AE271" s="14" t="str">
        <f>VLOOKUP(flu_eth_ep[[#This Row],[trust_code]],trust_lookup[],4,0)</f>
        <v>Community</v>
      </c>
    </row>
    <row r="272" spans="14:31" x14ac:dyDescent="0.35">
      <c r="N272" s="2" t="s">
        <v>170</v>
      </c>
      <c r="O272" s="2" t="s">
        <v>171</v>
      </c>
      <c r="P272" s="2" t="s">
        <v>194</v>
      </c>
      <c r="Q272" s="2" t="s">
        <v>67</v>
      </c>
      <c r="R272" s="23">
        <v>309</v>
      </c>
      <c r="S272" s="23">
        <v>122</v>
      </c>
      <c r="T272" s="2">
        <v>0.39482200647249099</v>
      </c>
      <c r="U272" s="14" t="str">
        <f>VLOOKUP(flu_staff[[#This Row],[trust_code]],trust_lookup[],3,0)</f>
        <v>St George's</v>
      </c>
      <c r="W272" s="2" t="s">
        <v>48</v>
      </c>
      <c r="X272" s="2" t="s">
        <v>49</v>
      </c>
      <c r="Y272" s="2" t="s">
        <v>192</v>
      </c>
      <c r="Z272" s="2" t="s">
        <v>54</v>
      </c>
      <c r="AA272" s="23">
        <v>358</v>
      </c>
      <c r="AB272" s="23">
        <v>124</v>
      </c>
      <c r="AC272" s="24">
        <v>0.34636871508379802</v>
      </c>
      <c r="AD272" s="14" t="str">
        <f>VLOOKUP(flu_eth_ep[[#This Row],[trust_code]],trust_lookup[],3,0)</f>
        <v>CLCH</v>
      </c>
      <c r="AE272" s="14" t="str">
        <f>VLOOKUP(flu_eth_ep[[#This Row],[trust_code]],trust_lookup[],4,0)</f>
        <v>Community</v>
      </c>
    </row>
    <row r="273" spans="14:31" x14ac:dyDescent="0.35">
      <c r="N273" s="2" t="s">
        <v>170</v>
      </c>
      <c r="O273" s="2" t="s">
        <v>171</v>
      </c>
      <c r="P273" s="2" t="s">
        <v>194</v>
      </c>
      <c r="Q273" s="2" t="s">
        <v>28</v>
      </c>
      <c r="R273" s="23">
        <v>232</v>
      </c>
      <c r="S273" s="23">
        <v>80</v>
      </c>
      <c r="T273" s="2">
        <v>0.34482758620689602</v>
      </c>
      <c r="U273" s="14" t="str">
        <f>VLOOKUP(flu_staff[[#This Row],[trust_code]],trust_lookup[],3,0)</f>
        <v>St George's</v>
      </c>
      <c r="W273" s="2" t="s">
        <v>48</v>
      </c>
      <c r="X273" s="2" t="s">
        <v>49</v>
      </c>
      <c r="Y273" s="2" t="s">
        <v>192</v>
      </c>
      <c r="Z273" s="2" t="s">
        <v>141</v>
      </c>
      <c r="AA273" s="23">
        <v>364</v>
      </c>
      <c r="AB273" s="23">
        <v>158</v>
      </c>
      <c r="AC273" s="24">
        <v>0.43406593406593402</v>
      </c>
      <c r="AD273" s="14" t="str">
        <f>VLOOKUP(flu_eth_ep[[#This Row],[trust_code]],trust_lookup[],3,0)</f>
        <v>CLCH</v>
      </c>
      <c r="AE273" s="14" t="str">
        <f>VLOOKUP(flu_eth_ep[[#This Row],[trust_code]],trust_lookup[],4,0)</f>
        <v>Community</v>
      </c>
    </row>
    <row r="274" spans="14:31" x14ac:dyDescent="0.35">
      <c r="N274" s="2" t="s">
        <v>170</v>
      </c>
      <c r="O274" s="2" t="s">
        <v>171</v>
      </c>
      <c r="P274" s="2" t="s">
        <v>194</v>
      </c>
      <c r="Q274" s="2" t="s">
        <v>74</v>
      </c>
      <c r="R274" s="23">
        <v>474</v>
      </c>
      <c r="S274" s="23">
        <v>180</v>
      </c>
      <c r="T274" s="2">
        <v>0.379746835443038</v>
      </c>
      <c r="U274" s="14" t="str">
        <f>VLOOKUP(flu_staff[[#This Row],[trust_code]],trust_lookup[],3,0)</f>
        <v>St George's</v>
      </c>
      <c r="W274" s="2" t="s">
        <v>48</v>
      </c>
      <c r="X274" s="2" t="s">
        <v>49</v>
      </c>
      <c r="Y274" s="2" t="s">
        <v>192</v>
      </c>
      <c r="Z274" s="2" t="s">
        <v>36</v>
      </c>
      <c r="AA274" s="23">
        <v>0</v>
      </c>
      <c r="AB274" s="23">
        <v>0</v>
      </c>
      <c r="AC274" s="24"/>
      <c r="AD274" s="14" t="str">
        <f>VLOOKUP(flu_eth_ep[[#This Row],[trust_code]],trust_lookup[],3,0)</f>
        <v>CLCH</v>
      </c>
      <c r="AE274" s="14" t="str">
        <f>VLOOKUP(flu_eth_ep[[#This Row],[trust_code]],trust_lookup[],4,0)</f>
        <v>Community</v>
      </c>
    </row>
    <row r="275" spans="14:31" x14ac:dyDescent="0.35">
      <c r="N275" s="2" t="s">
        <v>170</v>
      </c>
      <c r="O275" s="2" t="s">
        <v>171</v>
      </c>
      <c r="P275" s="2" t="s">
        <v>194</v>
      </c>
      <c r="Q275" s="2" t="s">
        <v>46</v>
      </c>
      <c r="R275" s="23">
        <v>314</v>
      </c>
      <c r="S275" s="23">
        <v>88</v>
      </c>
      <c r="T275" s="2">
        <v>0.28025477707006302</v>
      </c>
      <c r="U275" s="14" t="str">
        <f>VLOOKUP(flu_staff[[#This Row],[trust_code]],trust_lookup[],3,0)</f>
        <v>St George's</v>
      </c>
      <c r="W275" s="2" t="s">
        <v>55</v>
      </c>
      <c r="X275" s="2" t="s">
        <v>56</v>
      </c>
      <c r="Y275" s="2" t="s">
        <v>192</v>
      </c>
      <c r="Z275" s="2" t="s">
        <v>94</v>
      </c>
      <c r="AA275" s="23">
        <v>42</v>
      </c>
      <c r="AB275" s="23">
        <v>23</v>
      </c>
      <c r="AC275" s="24">
        <v>0.54761904761904701</v>
      </c>
      <c r="AD275" s="14" t="str">
        <f>VLOOKUP(flu_eth_ep[[#This Row],[trust_code]],trust_lookup[],3,0)</f>
        <v>ChelWest</v>
      </c>
      <c r="AE275" s="14" t="str">
        <f>VLOOKUP(flu_eth_ep[[#This Row],[trust_code]],trust_lookup[],4,0)</f>
        <v>Acute</v>
      </c>
    </row>
    <row r="276" spans="14:31" x14ac:dyDescent="0.35">
      <c r="N276" s="2" t="s">
        <v>179</v>
      </c>
      <c r="O276" s="2" t="s">
        <v>180</v>
      </c>
      <c r="P276" s="2" t="s">
        <v>194</v>
      </c>
      <c r="Q276" s="2" t="s">
        <v>60</v>
      </c>
      <c r="R276" s="23">
        <v>319</v>
      </c>
      <c r="S276" s="23">
        <v>159</v>
      </c>
      <c r="T276" s="2">
        <v>0.49843260188087701</v>
      </c>
      <c r="U276" s="14" t="str">
        <f>VLOOKUP(flu_staff[[#This Row],[trust_code]],trust_lookup[],3,0)</f>
        <v>Marsden</v>
      </c>
      <c r="W276" s="2" t="s">
        <v>55</v>
      </c>
      <c r="X276" s="2" t="s">
        <v>56</v>
      </c>
      <c r="Y276" s="2" t="s">
        <v>192</v>
      </c>
      <c r="Z276" s="2" t="s">
        <v>54</v>
      </c>
      <c r="AA276" s="23">
        <v>545</v>
      </c>
      <c r="AB276" s="23">
        <v>231</v>
      </c>
      <c r="AC276" s="24">
        <v>0.423853211009174</v>
      </c>
      <c r="AD276" s="14" t="str">
        <f>VLOOKUP(flu_eth_ep[[#This Row],[trust_code]],trust_lookup[],3,0)</f>
        <v>ChelWest</v>
      </c>
      <c r="AE276" s="14" t="str">
        <f>VLOOKUP(flu_eth_ep[[#This Row],[trust_code]],trust_lookup[],4,0)</f>
        <v>Acute</v>
      </c>
    </row>
    <row r="277" spans="14:31" x14ac:dyDescent="0.35">
      <c r="N277" s="2" t="s">
        <v>179</v>
      </c>
      <c r="O277" s="2" t="s">
        <v>180</v>
      </c>
      <c r="P277" s="2" t="s">
        <v>194</v>
      </c>
      <c r="Q277" s="2" t="s">
        <v>42</v>
      </c>
      <c r="R277" s="23">
        <v>590</v>
      </c>
      <c r="S277" s="23">
        <v>311</v>
      </c>
      <c r="T277" s="2">
        <v>0.52711864406779596</v>
      </c>
      <c r="U277" s="14" t="str">
        <f>VLOOKUP(flu_staff[[#This Row],[trust_code]],trust_lookup[],3,0)</f>
        <v>Marsden</v>
      </c>
      <c r="W277" s="2" t="s">
        <v>55</v>
      </c>
      <c r="X277" s="2" t="s">
        <v>56</v>
      </c>
      <c r="Y277" s="2" t="s">
        <v>192</v>
      </c>
      <c r="Z277" s="2" t="s">
        <v>129</v>
      </c>
      <c r="AA277" s="23">
        <v>31</v>
      </c>
      <c r="AB277" s="23">
        <v>12</v>
      </c>
      <c r="AC277" s="24">
        <v>0.38709677419354799</v>
      </c>
      <c r="AD277" s="14" t="str">
        <f>VLOOKUP(flu_eth_ep[[#This Row],[trust_code]],trust_lookup[],3,0)</f>
        <v>ChelWest</v>
      </c>
      <c r="AE277" s="14" t="str">
        <f>VLOOKUP(flu_eth_ep[[#This Row],[trust_code]],trust_lookup[],4,0)</f>
        <v>Acute</v>
      </c>
    </row>
    <row r="278" spans="14:31" x14ac:dyDescent="0.35">
      <c r="N278" s="2" t="s">
        <v>179</v>
      </c>
      <c r="O278" s="2" t="s">
        <v>180</v>
      </c>
      <c r="P278" s="2" t="s">
        <v>194</v>
      </c>
      <c r="Q278" s="2" t="s">
        <v>53</v>
      </c>
      <c r="R278" s="23">
        <v>1122</v>
      </c>
      <c r="S278" s="23">
        <v>600</v>
      </c>
      <c r="T278" s="2">
        <v>0.53475935828876997</v>
      </c>
      <c r="U278" s="14" t="str">
        <f>VLOOKUP(flu_staff[[#This Row],[trust_code]],trust_lookup[],3,0)</f>
        <v>Marsden</v>
      </c>
      <c r="W278" s="2" t="s">
        <v>55</v>
      </c>
      <c r="X278" s="2" t="s">
        <v>56</v>
      </c>
      <c r="Y278" s="2" t="s">
        <v>192</v>
      </c>
      <c r="Z278" s="2" t="s">
        <v>135</v>
      </c>
      <c r="AA278" s="23">
        <v>70</v>
      </c>
      <c r="AB278" s="23">
        <v>37</v>
      </c>
      <c r="AC278" s="24">
        <v>0.52857142857142803</v>
      </c>
      <c r="AD278" s="14" t="str">
        <f>VLOOKUP(flu_eth_ep[[#This Row],[trust_code]],trust_lookup[],3,0)</f>
        <v>ChelWest</v>
      </c>
      <c r="AE278" s="14" t="str">
        <f>VLOOKUP(flu_eth_ep[[#This Row],[trust_code]],trust_lookup[],4,0)</f>
        <v>Acute</v>
      </c>
    </row>
    <row r="279" spans="14:31" x14ac:dyDescent="0.35">
      <c r="N279" s="2" t="s">
        <v>179</v>
      </c>
      <c r="O279" s="2" t="s">
        <v>180</v>
      </c>
      <c r="P279" s="2" t="s">
        <v>194</v>
      </c>
      <c r="Q279" s="2" t="s">
        <v>74</v>
      </c>
      <c r="R279" s="23">
        <v>321</v>
      </c>
      <c r="S279" s="23">
        <v>135</v>
      </c>
      <c r="T279" s="2">
        <v>0.420560747663551</v>
      </c>
      <c r="U279" s="14" t="str">
        <f>VLOOKUP(flu_staff[[#This Row],[trust_code]],trust_lookup[],3,0)</f>
        <v>Marsden</v>
      </c>
      <c r="W279" s="2" t="s">
        <v>55</v>
      </c>
      <c r="X279" s="2" t="s">
        <v>56</v>
      </c>
      <c r="Y279" s="2" t="s">
        <v>192</v>
      </c>
      <c r="Z279" s="2" t="s">
        <v>75</v>
      </c>
      <c r="AA279" s="23">
        <v>168</v>
      </c>
      <c r="AB279" s="23">
        <v>37</v>
      </c>
      <c r="AC279" s="24">
        <v>0.22023809523809501</v>
      </c>
      <c r="AD279" s="14" t="str">
        <f>VLOOKUP(flu_eth_ep[[#This Row],[trust_code]],trust_lookup[],3,0)</f>
        <v>ChelWest</v>
      </c>
      <c r="AE279" s="14" t="str">
        <f>VLOOKUP(flu_eth_ep[[#This Row],[trust_code]],trust_lookup[],4,0)</f>
        <v>Acute</v>
      </c>
    </row>
    <row r="280" spans="14:31" x14ac:dyDescent="0.35">
      <c r="N280" s="2" t="s">
        <v>179</v>
      </c>
      <c r="O280" s="2" t="s">
        <v>180</v>
      </c>
      <c r="P280" s="2" t="s">
        <v>194</v>
      </c>
      <c r="Q280" s="2" t="s">
        <v>46</v>
      </c>
      <c r="R280" s="23">
        <v>53</v>
      </c>
      <c r="S280" s="23">
        <v>32</v>
      </c>
      <c r="T280" s="2">
        <v>0.60377358490566002</v>
      </c>
      <c r="U280" s="14" t="str">
        <f>VLOOKUP(flu_staff[[#This Row],[trust_code]],trust_lookup[],3,0)</f>
        <v>Marsden</v>
      </c>
      <c r="W280" s="2" t="s">
        <v>55</v>
      </c>
      <c r="X280" s="2" t="s">
        <v>56</v>
      </c>
      <c r="Y280" s="2" t="s">
        <v>192</v>
      </c>
      <c r="Z280" s="2" t="s">
        <v>29</v>
      </c>
      <c r="AA280" s="23">
        <v>87</v>
      </c>
      <c r="AB280" s="23">
        <v>34</v>
      </c>
      <c r="AC280" s="24">
        <v>0.390804597701149</v>
      </c>
      <c r="AD280" s="14" t="str">
        <f>VLOOKUP(flu_eth_ep[[#This Row],[trust_code]],trust_lookup[],3,0)</f>
        <v>ChelWest</v>
      </c>
      <c r="AE280" s="14" t="str">
        <f>VLOOKUP(flu_eth_ep[[#This Row],[trust_code]],trust_lookup[],4,0)</f>
        <v>Acute</v>
      </c>
    </row>
    <row r="281" spans="14:31" x14ac:dyDescent="0.35">
      <c r="N281" s="2" t="s">
        <v>179</v>
      </c>
      <c r="O281" s="2" t="s">
        <v>180</v>
      </c>
      <c r="P281" s="2" t="s">
        <v>194</v>
      </c>
      <c r="Q281" s="2" t="s">
        <v>35</v>
      </c>
      <c r="R281" s="23">
        <v>1</v>
      </c>
      <c r="S281" s="23">
        <v>0</v>
      </c>
      <c r="T281" s="2">
        <v>0</v>
      </c>
      <c r="U281" s="14" t="str">
        <f>VLOOKUP(flu_staff[[#This Row],[trust_code]],trust_lookup[],3,0)</f>
        <v>Marsden</v>
      </c>
      <c r="W281" s="2" t="s">
        <v>55</v>
      </c>
      <c r="X281" s="2" t="s">
        <v>56</v>
      </c>
      <c r="Y281" s="2" t="s">
        <v>192</v>
      </c>
      <c r="Z281" s="2" t="s">
        <v>36</v>
      </c>
      <c r="AA281" s="23">
        <v>363</v>
      </c>
      <c r="AB281" s="23">
        <v>167</v>
      </c>
      <c r="AC281" s="24">
        <v>0.46005509641873199</v>
      </c>
      <c r="AD281" s="14" t="str">
        <f>VLOOKUP(flu_eth_ep[[#This Row],[trust_code]],trust_lookup[],3,0)</f>
        <v>ChelWest</v>
      </c>
      <c r="AE281" s="14" t="str">
        <f>VLOOKUP(flu_eth_ep[[#This Row],[trust_code]],trust_lookup[],4,0)</f>
        <v>Acute</v>
      </c>
    </row>
    <row r="282" spans="14:31" x14ac:dyDescent="0.35">
      <c r="N282" s="2" t="s">
        <v>179</v>
      </c>
      <c r="O282" s="2" t="s">
        <v>180</v>
      </c>
      <c r="P282" s="2" t="s">
        <v>194</v>
      </c>
      <c r="Q282" s="2" t="s">
        <v>81</v>
      </c>
      <c r="R282" s="23">
        <v>576</v>
      </c>
      <c r="S282" s="23">
        <v>209</v>
      </c>
      <c r="T282" s="2">
        <v>0.36284722222222199</v>
      </c>
      <c r="U282" s="14" t="str">
        <f>VLOOKUP(flu_staff[[#This Row],[trust_code]],trust_lookup[],3,0)</f>
        <v>Marsden</v>
      </c>
      <c r="W282" s="2" t="s">
        <v>55</v>
      </c>
      <c r="X282" s="2" t="s">
        <v>56</v>
      </c>
      <c r="Y282" s="2" t="s">
        <v>192</v>
      </c>
      <c r="Z282" s="2" t="s">
        <v>36</v>
      </c>
      <c r="AA282" s="23">
        <v>6</v>
      </c>
      <c r="AB282" s="23">
        <v>3</v>
      </c>
      <c r="AC282" s="24">
        <v>0.5</v>
      </c>
      <c r="AD282" s="14" t="str">
        <f>VLOOKUP(flu_eth_ep[[#This Row],[trust_code]],trust_lookup[],3,0)</f>
        <v>ChelWest</v>
      </c>
      <c r="AE282" s="14" t="str">
        <f>VLOOKUP(flu_eth_ep[[#This Row],[trust_code]],trust_lookup[],4,0)</f>
        <v>Acute</v>
      </c>
    </row>
    <row r="283" spans="14:31" x14ac:dyDescent="0.35">
      <c r="N283" s="2" t="s">
        <v>179</v>
      </c>
      <c r="O283" s="2" t="s">
        <v>180</v>
      </c>
      <c r="P283" s="2" t="s">
        <v>194</v>
      </c>
      <c r="Q283" s="2" t="s">
        <v>28</v>
      </c>
      <c r="R283" s="23">
        <v>203</v>
      </c>
      <c r="S283" s="23">
        <v>52</v>
      </c>
      <c r="T283" s="2">
        <v>0.25615763546797998</v>
      </c>
      <c r="U283" s="14" t="str">
        <f>VLOOKUP(flu_staff[[#This Row],[trust_code]],trust_lookup[],3,0)</f>
        <v>Marsden</v>
      </c>
      <c r="W283" s="2" t="s">
        <v>55</v>
      </c>
      <c r="X283" s="2" t="s">
        <v>56</v>
      </c>
      <c r="Y283" s="2" t="s">
        <v>192</v>
      </c>
      <c r="Z283" s="2" t="s">
        <v>141</v>
      </c>
      <c r="AA283" s="23">
        <v>681</v>
      </c>
      <c r="AB283" s="23">
        <v>295</v>
      </c>
      <c r="AC283" s="24">
        <v>0.43318649045521201</v>
      </c>
      <c r="AD283" s="14" t="str">
        <f>VLOOKUP(flu_eth_ep[[#This Row],[trust_code]],trust_lookup[],3,0)</f>
        <v>ChelWest</v>
      </c>
      <c r="AE283" s="14" t="str">
        <f>VLOOKUP(flu_eth_ep[[#This Row],[trust_code]],trust_lookup[],4,0)</f>
        <v>Acute</v>
      </c>
    </row>
    <row r="284" spans="14:31" x14ac:dyDescent="0.35">
      <c r="N284" s="2" t="s">
        <v>179</v>
      </c>
      <c r="O284" s="2" t="s">
        <v>180</v>
      </c>
      <c r="P284" s="2" t="s">
        <v>194</v>
      </c>
      <c r="Q284" s="2" t="s">
        <v>67</v>
      </c>
      <c r="R284" s="23">
        <v>200</v>
      </c>
      <c r="S284" s="23">
        <v>83</v>
      </c>
      <c r="T284" s="2">
        <v>0.41499999999999998</v>
      </c>
      <c r="U284" s="14" t="str">
        <f>VLOOKUP(flu_staff[[#This Row],[trust_code]],trust_lookup[],3,0)</f>
        <v>Marsden</v>
      </c>
      <c r="W284" s="2" t="s">
        <v>55</v>
      </c>
      <c r="X284" s="2" t="s">
        <v>56</v>
      </c>
      <c r="Y284" s="2" t="s">
        <v>192</v>
      </c>
      <c r="Z284" s="2" t="s">
        <v>61</v>
      </c>
      <c r="AA284" s="23">
        <v>92</v>
      </c>
      <c r="AB284" s="23">
        <v>20</v>
      </c>
      <c r="AC284" s="24">
        <v>0.217391304347826</v>
      </c>
      <c r="AD284" s="14" t="str">
        <f>VLOOKUP(flu_eth_ep[[#This Row],[trust_code]],trust_lookup[],3,0)</f>
        <v>ChelWest</v>
      </c>
      <c r="AE284" s="14" t="str">
        <f>VLOOKUP(flu_eth_ep[[#This Row],[trust_code]],trust_lookup[],4,0)</f>
        <v>Acute</v>
      </c>
    </row>
    <row r="285" spans="14:31" x14ac:dyDescent="0.35">
      <c r="W285" s="2" t="s">
        <v>55</v>
      </c>
      <c r="X285" s="2" t="s">
        <v>56</v>
      </c>
      <c r="Y285" s="2" t="s">
        <v>192</v>
      </c>
      <c r="Z285" s="2" t="s">
        <v>112</v>
      </c>
      <c r="AA285" s="23">
        <v>438</v>
      </c>
      <c r="AB285" s="23">
        <v>187</v>
      </c>
      <c r="AC285" s="24">
        <v>0.42694063926940601</v>
      </c>
      <c r="AD285" s="14" t="str">
        <f>VLOOKUP(flu_eth_ep[[#This Row],[trust_code]],trust_lookup[],3,0)</f>
        <v>ChelWest</v>
      </c>
      <c r="AE285" s="14" t="str">
        <f>VLOOKUP(flu_eth_ep[[#This Row],[trust_code]],trust_lookup[],4,0)</f>
        <v>Acute</v>
      </c>
    </row>
    <row r="286" spans="14:31" x14ac:dyDescent="0.35">
      <c r="W286" s="2" t="s">
        <v>55</v>
      </c>
      <c r="X286" s="2" t="s">
        <v>56</v>
      </c>
      <c r="Y286" s="2" t="s">
        <v>192</v>
      </c>
      <c r="Z286" s="2" t="s">
        <v>82</v>
      </c>
      <c r="AA286" s="23">
        <v>94</v>
      </c>
      <c r="AB286" s="23">
        <v>25</v>
      </c>
      <c r="AC286" s="24">
        <v>0.26595744680851002</v>
      </c>
      <c r="AD286" s="14" t="str">
        <f>VLOOKUP(flu_eth_ep[[#This Row],[trust_code]],trust_lookup[],3,0)</f>
        <v>ChelWest</v>
      </c>
      <c r="AE286" s="14" t="str">
        <f>VLOOKUP(flu_eth_ep[[#This Row],[trust_code]],trust_lookup[],4,0)</f>
        <v>Acute</v>
      </c>
    </row>
    <row r="287" spans="14:31" x14ac:dyDescent="0.35">
      <c r="W287" s="2" t="s">
        <v>55</v>
      </c>
      <c r="X287" s="2" t="s">
        <v>56</v>
      </c>
      <c r="Y287" s="2" t="s">
        <v>192</v>
      </c>
      <c r="Z287" s="2" t="s">
        <v>106</v>
      </c>
      <c r="AA287" s="23">
        <v>69</v>
      </c>
      <c r="AB287" s="23">
        <v>30</v>
      </c>
      <c r="AC287" s="24">
        <v>0.434782608695652</v>
      </c>
      <c r="AD287" s="14" t="str">
        <f>VLOOKUP(flu_eth_ep[[#This Row],[trust_code]],trust_lookup[],3,0)</f>
        <v>ChelWest</v>
      </c>
      <c r="AE287" s="14" t="str">
        <f>VLOOKUP(flu_eth_ep[[#This Row],[trust_code]],trust_lookup[],4,0)</f>
        <v>Acute</v>
      </c>
    </row>
    <row r="288" spans="14:31" x14ac:dyDescent="0.35">
      <c r="W288" s="2" t="s">
        <v>55</v>
      </c>
      <c r="X288" s="2" t="s">
        <v>56</v>
      </c>
      <c r="Y288" s="2" t="s">
        <v>192</v>
      </c>
      <c r="Z288" s="2" t="s">
        <v>100</v>
      </c>
      <c r="AA288" s="23">
        <v>500</v>
      </c>
      <c r="AB288" s="23">
        <v>136</v>
      </c>
      <c r="AC288" s="24">
        <v>0.27200000000000002</v>
      </c>
      <c r="AD288" s="14" t="str">
        <f>VLOOKUP(flu_eth_ep[[#This Row],[trust_code]],trust_lookup[],3,0)</f>
        <v>ChelWest</v>
      </c>
      <c r="AE288" s="14" t="str">
        <f>VLOOKUP(flu_eth_ep[[#This Row],[trust_code]],trust_lookup[],4,0)</f>
        <v>Acute</v>
      </c>
    </row>
    <row r="289" spans="23:31" x14ac:dyDescent="0.35">
      <c r="W289" s="2" t="s">
        <v>55</v>
      </c>
      <c r="X289" s="2" t="s">
        <v>56</v>
      </c>
      <c r="Y289" s="2" t="s">
        <v>192</v>
      </c>
      <c r="Z289" s="2" t="s">
        <v>88</v>
      </c>
      <c r="AA289" s="23">
        <v>40</v>
      </c>
      <c r="AB289" s="23">
        <v>16</v>
      </c>
      <c r="AC289" s="2">
        <v>0.4</v>
      </c>
      <c r="AD289" s="14" t="str">
        <f>VLOOKUP(flu_eth_ep[[#This Row],[trust_code]],trust_lookup[],3,0)</f>
        <v>ChelWest</v>
      </c>
      <c r="AE289" s="14" t="str">
        <f>VLOOKUP(flu_eth_ep[[#This Row],[trust_code]],trust_lookup[],4,0)</f>
        <v>Acute</v>
      </c>
    </row>
    <row r="290" spans="23:31" x14ac:dyDescent="0.35">
      <c r="W290" s="2" t="s">
        <v>55</v>
      </c>
      <c r="X290" s="2" t="s">
        <v>56</v>
      </c>
      <c r="Y290" s="2" t="s">
        <v>192</v>
      </c>
      <c r="Z290" s="2" t="s">
        <v>47</v>
      </c>
      <c r="AA290" s="23">
        <v>38</v>
      </c>
      <c r="AB290" s="23">
        <v>10</v>
      </c>
      <c r="AC290" s="2">
        <v>0.26315789473684198</v>
      </c>
      <c r="AD290" s="14" t="str">
        <f>VLOOKUP(flu_eth_ep[[#This Row],[trust_code]],trust_lookup[],3,0)</f>
        <v>ChelWest</v>
      </c>
      <c r="AE290" s="14" t="str">
        <f>VLOOKUP(flu_eth_ep[[#This Row],[trust_code]],trust_lookup[],4,0)</f>
        <v>Acute</v>
      </c>
    </row>
    <row r="291" spans="23:31" x14ac:dyDescent="0.35">
      <c r="W291" s="2" t="s">
        <v>55</v>
      </c>
      <c r="X291" s="2" t="s">
        <v>56</v>
      </c>
      <c r="Y291" s="2" t="s">
        <v>192</v>
      </c>
      <c r="Z291" s="2" t="s">
        <v>123</v>
      </c>
      <c r="AA291" s="23">
        <v>400</v>
      </c>
      <c r="AB291" s="23">
        <v>174</v>
      </c>
      <c r="AC291" s="2">
        <v>0.435</v>
      </c>
      <c r="AD291" s="14" t="str">
        <f>VLOOKUP(flu_eth_ep[[#This Row],[trust_code]],trust_lookup[],3,0)</f>
        <v>ChelWest</v>
      </c>
      <c r="AE291" s="14" t="str">
        <f>VLOOKUP(flu_eth_ep[[#This Row],[trust_code]],trust_lookup[],4,0)</f>
        <v>Acute</v>
      </c>
    </row>
    <row r="292" spans="23:31" x14ac:dyDescent="0.35">
      <c r="W292" s="2" t="s">
        <v>55</v>
      </c>
      <c r="X292" s="2" t="s">
        <v>56</v>
      </c>
      <c r="Y292" s="2" t="s">
        <v>192</v>
      </c>
      <c r="Z292" s="2" t="s">
        <v>68</v>
      </c>
      <c r="AA292" s="23">
        <v>1233</v>
      </c>
      <c r="AB292" s="23">
        <v>734</v>
      </c>
      <c r="AC292" s="2">
        <v>0.59529602595296005</v>
      </c>
      <c r="AD292" s="14" t="str">
        <f>VLOOKUP(flu_eth_ep[[#This Row],[trust_code]],trust_lookup[],3,0)</f>
        <v>ChelWest</v>
      </c>
      <c r="AE292" s="14" t="str">
        <f>VLOOKUP(flu_eth_ep[[#This Row],[trust_code]],trust_lookup[],4,0)</f>
        <v>Acute</v>
      </c>
    </row>
    <row r="293" spans="23:31" x14ac:dyDescent="0.35">
      <c r="W293" s="2" t="s">
        <v>101</v>
      </c>
      <c r="X293" s="2" t="s">
        <v>102</v>
      </c>
      <c r="Y293" s="2" t="s">
        <v>192</v>
      </c>
      <c r="Z293" s="2" t="s">
        <v>29</v>
      </c>
      <c r="AA293" s="23">
        <v>187</v>
      </c>
      <c r="AB293" s="23">
        <v>71</v>
      </c>
      <c r="AC293" s="2">
        <v>0.37967914438502598</v>
      </c>
      <c r="AD293" s="14" t="str">
        <f>VLOOKUP(flu_eth_ep[[#This Row],[trust_code]],trust_lookup[],3,0)</f>
        <v>Imperial</v>
      </c>
      <c r="AE293" s="14" t="str">
        <f>VLOOKUP(flu_eth_ep[[#This Row],[trust_code]],trust_lookup[],4,0)</f>
        <v>Acute</v>
      </c>
    </row>
    <row r="294" spans="23:31" x14ac:dyDescent="0.35">
      <c r="W294" s="2" t="s">
        <v>101</v>
      </c>
      <c r="X294" s="2" t="s">
        <v>102</v>
      </c>
      <c r="Y294" s="2" t="s">
        <v>192</v>
      </c>
      <c r="Z294" s="2" t="s">
        <v>82</v>
      </c>
      <c r="AA294" s="23">
        <v>228</v>
      </c>
      <c r="AB294" s="23">
        <v>65</v>
      </c>
      <c r="AC294" s="2">
        <v>0.285087719298245</v>
      </c>
      <c r="AD294" s="14" t="str">
        <f>VLOOKUP(flu_eth_ep[[#This Row],[trust_code]],trust_lookup[],3,0)</f>
        <v>Imperial</v>
      </c>
      <c r="AE294" s="14" t="str">
        <f>VLOOKUP(flu_eth_ep[[#This Row],[trust_code]],trust_lookup[],4,0)</f>
        <v>Acute</v>
      </c>
    </row>
    <row r="295" spans="23:31" x14ac:dyDescent="0.35">
      <c r="W295" s="2" t="s">
        <v>101</v>
      </c>
      <c r="X295" s="2" t="s">
        <v>102</v>
      </c>
      <c r="Y295" s="2" t="s">
        <v>192</v>
      </c>
      <c r="Z295" s="2" t="s">
        <v>47</v>
      </c>
      <c r="AA295" s="23">
        <v>123</v>
      </c>
      <c r="AB295" s="23">
        <v>28</v>
      </c>
      <c r="AC295" s="2">
        <v>0.22764227642276399</v>
      </c>
      <c r="AD295" s="14" t="str">
        <f>VLOOKUP(flu_eth_ep[[#This Row],[trust_code]],trust_lookup[],3,0)</f>
        <v>Imperial</v>
      </c>
      <c r="AE295" s="14" t="str">
        <f>VLOOKUP(flu_eth_ep[[#This Row],[trust_code]],trust_lookup[],4,0)</f>
        <v>Acute</v>
      </c>
    </row>
    <row r="296" spans="23:31" x14ac:dyDescent="0.35">
      <c r="W296" s="2" t="s">
        <v>101</v>
      </c>
      <c r="X296" s="2" t="s">
        <v>102</v>
      </c>
      <c r="Y296" s="2" t="s">
        <v>192</v>
      </c>
      <c r="Z296" s="2" t="s">
        <v>94</v>
      </c>
      <c r="AA296" s="23">
        <v>90</v>
      </c>
      <c r="AB296" s="23">
        <v>33</v>
      </c>
      <c r="AC296" s="2">
        <v>0.36666666666666597</v>
      </c>
      <c r="AD296" s="14" t="str">
        <f>VLOOKUP(flu_eth_ep[[#This Row],[trust_code]],trust_lookup[],3,0)</f>
        <v>Imperial</v>
      </c>
      <c r="AE296" s="14" t="str">
        <f>VLOOKUP(flu_eth_ep[[#This Row],[trust_code]],trust_lookup[],4,0)</f>
        <v>Acute</v>
      </c>
    </row>
    <row r="297" spans="23:31" x14ac:dyDescent="0.35">
      <c r="W297" s="2" t="s">
        <v>101</v>
      </c>
      <c r="X297" s="2" t="s">
        <v>102</v>
      </c>
      <c r="Y297" s="2" t="s">
        <v>192</v>
      </c>
      <c r="Z297" s="2" t="s">
        <v>75</v>
      </c>
      <c r="AA297" s="23">
        <v>437</v>
      </c>
      <c r="AB297" s="23">
        <v>98</v>
      </c>
      <c r="AC297" s="2">
        <v>0.22425629290617799</v>
      </c>
      <c r="AD297" s="14" t="str">
        <f>VLOOKUP(flu_eth_ep[[#This Row],[trust_code]],trust_lookup[],3,0)</f>
        <v>Imperial</v>
      </c>
      <c r="AE297" s="14" t="str">
        <f>VLOOKUP(flu_eth_ep[[#This Row],[trust_code]],trust_lookup[],4,0)</f>
        <v>Acute</v>
      </c>
    </row>
    <row r="298" spans="23:31" x14ac:dyDescent="0.35">
      <c r="W298" s="2" t="s">
        <v>101</v>
      </c>
      <c r="X298" s="2" t="s">
        <v>102</v>
      </c>
      <c r="Y298" s="2" t="s">
        <v>192</v>
      </c>
      <c r="Z298" s="2" t="s">
        <v>68</v>
      </c>
      <c r="AA298" s="23">
        <v>2143</v>
      </c>
      <c r="AB298" s="23">
        <v>1169</v>
      </c>
      <c r="AC298" s="2">
        <v>0.54549696686887506</v>
      </c>
      <c r="AD298" s="14" t="str">
        <f>VLOOKUP(flu_eth_ep[[#This Row],[trust_code]],trust_lookup[],3,0)</f>
        <v>Imperial</v>
      </c>
      <c r="AE298" s="14" t="str">
        <f>VLOOKUP(flu_eth_ep[[#This Row],[trust_code]],trust_lookup[],4,0)</f>
        <v>Acute</v>
      </c>
    </row>
    <row r="299" spans="23:31" x14ac:dyDescent="0.35">
      <c r="W299" s="2" t="s">
        <v>101</v>
      </c>
      <c r="X299" s="2" t="s">
        <v>102</v>
      </c>
      <c r="Y299" s="2" t="s">
        <v>192</v>
      </c>
      <c r="Z299" s="2" t="s">
        <v>100</v>
      </c>
      <c r="AA299" s="23">
        <v>1519</v>
      </c>
      <c r="AB299" s="23">
        <v>326</v>
      </c>
      <c r="AC299" s="2">
        <v>0.21461487820934799</v>
      </c>
      <c r="AD299" s="14" t="str">
        <f>VLOOKUP(flu_eth_ep[[#This Row],[trust_code]],trust_lookup[],3,0)</f>
        <v>Imperial</v>
      </c>
      <c r="AE299" s="14" t="str">
        <f>VLOOKUP(flu_eth_ep[[#This Row],[trust_code]],trust_lookup[],4,0)</f>
        <v>Acute</v>
      </c>
    </row>
    <row r="300" spans="23:31" x14ac:dyDescent="0.35">
      <c r="W300" s="2" t="s">
        <v>101</v>
      </c>
      <c r="X300" s="2" t="s">
        <v>102</v>
      </c>
      <c r="Y300" s="2" t="s">
        <v>192</v>
      </c>
      <c r="Z300" s="2" t="s">
        <v>141</v>
      </c>
      <c r="AA300" s="23">
        <v>1662</v>
      </c>
      <c r="AB300" s="23">
        <v>678</v>
      </c>
      <c r="AC300" s="2">
        <v>0.40794223826714798</v>
      </c>
      <c r="AD300" s="14" t="str">
        <f>VLOOKUP(flu_eth_ep[[#This Row],[trust_code]],trust_lookup[],3,0)</f>
        <v>Imperial</v>
      </c>
      <c r="AE300" s="14" t="str">
        <f>VLOOKUP(flu_eth_ep[[#This Row],[trust_code]],trust_lookup[],4,0)</f>
        <v>Acute</v>
      </c>
    </row>
    <row r="301" spans="23:31" x14ac:dyDescent="0.35">
      <c r="W301" s="2" t="s">
        <v>101</v>
      </c>
      <c r="X301" s="2" t="s">
        <v>102</v>
      </c>
      <c r="Y301" s="2" t="s">
        <v>192</v>
      </c>
      <c r="Z301" s="2" t="s">
        <v>112</v>
      </c>
      <c r="AA301" s="23">
        <v>1190</v>
      </c>
      <c r="AB301" s="23">
        <v>419</v>
      </c>
      <c r="AC301" s="2">
        <v>0.35210084033613398</v>
      </c>
      <c r="AD301" s="14" t="str">
        <f>VLOOKUP(flu_eth_ep[[#This Row],[trust_code]],trust_lookup[],3,0)</f>
        <v>Imperial</v>
      </c>
      <c r="AE301" s="14" t="str">
        <f>VLOOKUP(flu_eth_ep[[#This Row],[trust_code]],trust_lookup[],4,0)</f>
        <v>Acute</v>
      </c>
    </row>
    <row r="302" spans="23:31" x14ac:dyDescent="0.35">
      <c r="W302" s="2" t="s">
        <v>101</v>
      </c>
      <c r="X302" s="2" t="s">
        <v>102</v>
      </c>
      <c r="Y302" s="2" t="s">
        <v>192</v>
      </c>
      <c r="Z302" s="2" t="s">
        <v>61</v>
      </c>
      <c r="AA302" s="23">
        <v>272</v>
      </c>
      <c r="AB302" s="23">
        <v>61</v>
      </c>
      <c r="AC302" s="2">
        <v>0.22426470588235201</v>
      </c>
      <c r="AD302" s="14" t="str">
        <f>VLOOKUP(flu_eth_ep[[#This Row],[trust_code]],trust_lookup[],3,0)</f>
        <v>Imperial</v>
      </c>
      <c r="AE302" s="14" t="str">
        <f>VLOOKUP(flu_eth_ep[[#This Row],[trust_code]],trust_lookup[],4,0)</f>
        <v>Acute</v>
      </c>
    </row>
    <row r="303" spans="23:31" x14ac:dyDescent="0.35">
      <c r="W303" s="2" t="s">
        <v>101</v>
      </c>
      <c r="X303" s="2" t="s">
        <v>102</v>
      </c>
      <c r="Y303" s="2" t="s">
        <v>192</v>
      </c>
      <c r="Z303" s="2" t="s">
        <v>88</v>
      </c>
      <c r="AA303" s="23">
        <v>130</v>
      </c>
      <c r="AB303" s="23">
        <v>27</v>
      </c>
      <c r="AC303" s="2">
        <v>0.20769230769230701</v>
      </c>
      <c r="AD303" s="14" t="str">
        <f>VLOOKUP(flu_eth_ep[[#This Row],[trust_code]],trust_lookup[],3,0)</f>
        <v>Imperial</v>
      </c>
      <c r="AE303" s="14" t="str">
        <f>VLOOKUP(flu_eth_ep[[#This Row],[trust_code]],trust_lookup[],4,0)</f>
        <v>Acute</v>
      </c>
    </row>
    <row r="304" spans="23:31" x14ac:dyDescent="0.35">
      <c r="W304" s="2" t="s">
        <v>101</v>
      </c>
      <c r="X304" s="2" t="s">
        <v>102</v>
      </c>
      <c r="Y304" s="2" t="s">
        <v>192</v>
      </c>
      <c r="Z304" s="2" t="s">
        <v>123</v>
      </c>
      <c r="AA304" s="23">
        <v>1150</v>
      </c>
      <c r="AB304" s="23">
        <v>422</v>
      </c>
      <c r="AC304" s="2">
        <v>0.36695652173913001</v>
      </c>
      <c r="AD304" s="14" t="str">
        <f>VLOOKUP(flu_eth_ep[[#This Row],[trust_code]],trust_lookup[],3,0)</f>
        <v>Imperial</v>
      </c>
      <c r="AE304" s="14" t="str">
        <f>VLOOKUP(flu_eth_ep[[#This Row],[trust_code]],trust_lookup[],4,0)</f>
        <v>Acute</v>
      </c>
    </row>
    <row r="305" spans="23:31" x14ac:dyDescent="0.35">
      <c r="W305" s="2" t="s">
        <v>101</v>
      </c>
      <c r="X305" s="2" t="s">
        <v>102</v>
      </c>
      <c r="Y305" s="2" t="s">
        <v>192</v>
      </c>
      <c r="Z305" s="2" t="s">
        <v>36</v>
      </c>
      <c r="AA305" s="23">
        <v>714</v>
      </c>
      <c r="AB305" s="23">
        <v>250</v>
      </c>
      <c r="AC305" s="2">
        <v>0.350140056022408</v>
      </c>
      <c r="AD305" s="14" t="str">
        <f>VLOOKUP(flu_eth_ep[[#This Row],[trust_code]],trust_lookup[],3,0)</f>
        <v>Imperial</v>
      </c>
      <c r="AE305" s="14" t="str">
        <f>VLOOKUP(flu_eth_ep[[#This Row],[trust_code]],trust_lookup[],4,0)</f>
        <v>Acute</v>
      </c>
    </row>
    <row r="306" spans="23:31" x14ac:dyDescent="0.35">
      <c r="W306" s="2" t="s">
        <v>101</v>
      </c>
      <c r="X306" s="2" t="s">
        <v>102</v>
      </c>
      <c r="Y306" s="2" t="s">
        <v>192</v>
      </c>
      <c r="Z306" s="2" t="s">
        <v>106</v>
      </c>
      <c r="AA306" s="23">
        <v>171</v>
      </c>
      <c r="AB306" s="23">
        <v>72</v>
      </c>
      <c r="AC306" s="2">
        <v>0.42105263157894701</v>
      </c>
      <c r="AD306" s="14" t="str">
        <f>VLOOKUP(flu_eth_ep[[#This Row],[trust_code]],trust_lookup[],3,0)</f>
        <v>Imperial</v>
      </c>
      <c r="AE306" s="14" t="str">
        <f>VLOOKUP(flu_eth_ep[[#This Row],[trust_code]],trust_lookup[],4,0)</f>
        <v>Acute</v>
      </c>
    </row>
    <row r="307" spans="23:31" x14ac:dyDescent="0.35">
      <c r="W307" s="2" t="s">
        <v>101</v>
      </c>
      <c r="X307" s="2" t="s">
        <v>102</v>
      </c>
      <c r="Y307" s="2" t="s">
        <v>192</v>
      </c>
      <c r="Z307" s="2" t="s">
        <v>129</v>
      </c>
      <c r="AA307" s="23">
        <v>52</v>
      </c>
      <c r="AB307" s="23">
        <v>15</v>
      </c>
      <c r="AC307" s="2">
        <v>0.28846153846153799</v>
      </c>
      <c r="AD307" s="14" t="str">
        <f>VLOOKUP(flu_eth_ep[[#This Row],[trust_code]],trust_lookup[],3,0)</f>
        <v>Imperial</v>
      </c>
      <c r="AE307" s="14" t="str">
        <f>VLOOKUP(flu_eth_ep[[#This Row],[trust_code]],trust_lookup[],4,0)</f>
        <v>Acute</v>
      </c>
    </row>
    <row r="308" spans="23:31" x14ac:dyDescent="0.35">
      <c r="W308" s="2" t="s">
        <v>101</v>
      </c>
      <c r="X308" s="2" t="s">
        <v>102</v>
      </c>
      <c r="Y308" s="2" t="s">
        <v>192</v>
      </c>
      <c r="Z308" s="2" t="s">
        <v>36</v>
      </c>
      <c r="AA308" s="23">
        <v>18</v>
      </c>
      <c r="AB308" s="23">
        <v>4</v>
      </c>
      <c r="AC308" s="2">
        <v>0.22222222222222199</v>
      </c>
      <c r="AD308" s="14" t="str">
        <f>VLOOKUP(flu_eth_ep[[#This Row],[trust_code]],trust_lookup[],3,0)</f>
        <v>Imperial</v>
      </c>
      <c r="AE308" s="14" t="str">
        <f>VLOOKUP(flu_eth_ep[[#This Row],[trust_code]],trust_lookup[],4,0)</f>
        <v>Acute</v>
      </c>
    </row>
    <row r="309" spans="23:31" x14ac:dyDescent="0.35">
      <c r="W309" s="2" t="s">
        <v>101</v>
      </c>
      <c r="X309" s="2" t="s">
        <v>102</v>
      </c>
      <c r="Y309" s="2" t="s">
        <v>192</v>
      </c>
      <c r="Z309" s="2" t="s">
        <v>135</v>
      </c>
      <c r="AA309" s="23">
        <v>158</v>
      </c>
      <c r="AB309" s="23">
        <v>78</v>
      </c>
      <c r="AC309" s="2">
        <v>0.493670886075949</v>
      </c>
      <c r="AD309" s="14" t="str">
        <f>VLOOKUP(flu_eth_ep[[#This Row],[trust_code]],trust_lookup[],3,0)</f>
        <v>Imperial</v>
      </c>
      <c r="AE309" s="14" t="str">
        <f>VLOOKUP(flu_eth_ep[[#This Row],[trust_code]],trust_lookup[],4,0)</f>
        <v>Acute</v>
      </c>
    </row>
    <row r="310" spans="23:31" x14ac:dyDescent="0.35">
      <c r="W310" s="2" t="s">
        <v>101</v>
      </c>
      <c r="X310" s="2" t="s">
        <v>102</v>
      </c>
      <c r="Y310" s="2" t="s">
        <v>192</v>
      </c>
      <c r="Z310" s="2" t="s">
        <v>54</v>
      </c>
      <c r="AA310" s="23">
        <v>1307</v>
      </c>
      <c r="AB310" s="23">
        <v>497</v>
      </c>
      <c r="AC310" s="2">
        <v>0.38026013771996903</v>
      </c>
      <c r="AD310" s="14" t="str">
        <f>VLOOKUP(flu_eth_ep[[#This Row],[trust_code]],trust_lookup[],3,0)</f>
        <v>Imperial</v>
      </c>
      <c r="AE310" s="14" t="str">
        <f>VLOOKUP(flu_eth_ep[[#This Row],[trust_code]],trust_lookup[],4,0)</f>
        <v>Acute</v>
      </c>
    </row>
    <row r="311" spans="23:31" x14ac:dyDescent="0.35">
      <c r="W311" s="2" t="s">
        <v>124</v>
      </c>
      <c r="X311" s="2" t="s">
        <v>125</v>
      </c>
      <c r="Y311" s="2" t="s">
        <v>192</v>
      </c>
      <c r="Z311" s="2" t="s">
        <v>82</v>
      </c>
      <c r="AA311" s="23">
        <v>29</v>
      </c>
      <c r="AB311" s="23">
        <v>5</v>
      </c>
      <c r="AC311" s="2">
        <v>0.17241379310344801</v>
      </c>
      <c r="AD311" s="14" t="str">
        <f>VLOOKUP(flu_eth_ep[[#This Row],[trust_code]],trust_lookup[],3,0)</f>
        <v>LAS</v>
      </c>
      <c r="AE311" s="14" t="str">
        <f>VLOOKUP(flu_eth_ep[[#This Row],[trust_code]],trust_lookup[],4,0)</f>
        <v>Ambulance</v>
      </c>
    </row>
    <row r="312" spans="23:31" x14ac:dyDescent="0.35">
      <c r="W312" s="2" t="s">
        <v>124</v>
      </c>
      <c r="X312" s="2" t="s">
        <v>125</v>
      </c>
      <c r="Y312" s="2" t="s">
        <v>192</v>
      </c>
      <c r="Z312" s="2" t="s">
        <v>100</v>
      </c>
      <c r="AA312" s="23">
        <v>87</v>
      </c>
      <c r="AB312" s="23">
        <v>23</v>
      </c>
      <c r="AC312" s="2">
        <v>0.26436781609195398</v>
      </c>
      <c r="AD312" s="14" t="str">
        <f>VLOOKUP(flu_eth_ep[[#This Row],[trust_code]],trust_lookup[],3,0)</f>
        <v>LAS</v>
      </c>
      <c r="AE312" s="14" t="str">
        <f>VLOOKUP(flu_eth_ep[[#This Row],[trust_code]],trust_lookup[],4,0)</f>
        <v>Ambulance</v>
      </c>
    </row>
    <row r="313" spans="23:31" x14ac:dyDescent="0.35">
      <c r="W313" s="2" t="s">
        <v>124</v>
      </c>
      <c r="X313" s="2" t="s">
        <v>125</v>
      </c>
      <c r="Y313" s="2" t="s">
        <v>192</v>
      </c>
      <c r="Z313" s="2" t="s">
        <v>36</v>
      </c>
      <c r="AA313" s="23">
        <v>252</v>
      </c>
      <c r="AB313" s="23">
        <v>132</v>
      </c>
      <c r="AC313" s="2">
        <v>0.52380952380952295</v>
      </c>
      <c r="AD313" s="14" t="str">
        <f>VLOOKUP(flu_eth_ep[[#This Row],[trust_code]],trust_lookup[],3,0)</f>
        <v>LAS</v>
      </c>
      <c r="AE313" s="14" t="str">
        <f>VLOOKUP(flu_eth_ep[[#This Row],[trust_code]],trust_lookup[],4,0)</f>
        <v>Ambulance</v>
      </c>
    </row>
    <row r="314" spans="23:31" x14ac:dyDescent="0.35">
      <c r="W314" s="2" t="s">
        <v>124</v>
      </c>
      <c r="X314" s="2" t="s">
        <v>125</v>
      </c>
      <c r="Y314" s="2" t="s">
        <v>192</v>
      </c>
      <c r="Z314" s="2" t="s">
        <v>47</v>
      </c>
      <c r="AA314" s="23">
        <v>14</v>
      </c>
      <c r="AB314" s="23">
        <v>6</v>
      </c>
      <c r="AC314" s="2">
        <v>0.42857142857142799</v>
      </c>
      <c r="AD314" s="14" t="str">
        <f>VLOOKUP(flu_eth_ep[[#This Row],[trust_code]],trust_lookup[],3,0)</f>
        <v>LAS</v>
      </c>
      <c r="AE314" s="14" t="str">
        <f>VLOOKUP(flu_eth_ep[[#This Row],[trust_code]],trust_lookup[],4,0)</f>
        <v>Ambulance</v>
      </c>
    </row>
    <row r="315" spans="23:31" x14ac:dyDescent="0.35">
      <c r="W315" s="2" t="s">
        <v>124</v>
      </c>
      <c r="X315" s="2" t="s">
        <v>125</v>
      </c>
      <c r="Y315" s="2" t="s">
        <v>192</v>
      </c>
      <c r="Z315" s="2" t="s">
        <v>106</v>
      </c>
      <c r="AA315" s="23">
        <v>9</v>
      </c>
      <c r="AB315" s="23">
        <v>5</v>
      </c>
      <c r="AC315" s="2">
        <v>0.55555555555555503</v>
      </c>
      <c r="AD315" s="14" t="str">
        <f>VLOOKUP(flu_eth_ep[[#This Row],[trust_code]],trust_lookup[],3,0)</f>
        <v>LAS</v>
      </c>
      <c r="AE315" s="14" t="str">
        <f>VLOOKUP(flu_eth_ep[[#This Row],[trust_code]],trust_lookup[],4,0)</f>
        <v>Ambulance</v>
      </c>
    </row>
    <row r="316" spans="23:31" x14ac:dyDescent="0.35">
      <c r="W316" s="2" t="s">
        <v>124</v>
      </c>
      <c r="X316" s="2" t="s">
        <v>125</v>
      </c>
      <c r="Y316" s="2" t="s">
        <v>192</v>
      </c>
      <c r="Z316" s="2" t="s">
        <v>135</v>
      </c>
      <c r="AA316" s="23">
        <v>69</v>
      </c>
      <c r="AB316" s="23">
        <v>30</v>
      </c>
      <c r="AC316" s="2">
        <v>0.434782608695652</v>
      </c>
      <c r="AD316" s="14" t="str">
        <f>VLOOKUP(flu_eth_ep[[#This Row],[trust_code]],trust_lookup[],3,0)</f>
        <v>LAS</v>
      </c>
      <c r="AE316" s="14" t="str">
        <f>VLOOKUP(flu_eth_ep[[#This Row],[trust_code]],trust_lookup[],4,0)</f>
        <v>Ambulance</v>
      </c>
    </row>
    <row r="317" spans="23:31" x14ac:dyDescent="0.35">
      <c r="W317" s="2" t="s">
        <v>124</v>
      </c>
      <c r="X317" s="2" t="s">
        <v>125</v>
      </c>
      <c r="Y317" s="2" t="s">
        <v>192</v>
      </c>
      <c r="Z317" s="2" t="s">
        <v>88</v>
      </c>
      <c r="AA317" s="23">
        <v>39</v>
      </c>
      <c r="AB317" s="23">
        <v>11</v>
      </c>
      <c r="AC317" s="2">
        <v>0.28205128205128199</v>
      </c>
      <c r="AD317" s="14" t="str">
        <f>VLOOKUP(flu_eth_ep[[#This Row],[trust_code]],trust_lookup[],3,0)</f>
        <v>LAS</v>
      </c>
      <c r="AE317" s="14" t="str">
        <f>VLOOKUP(flu_eth_ep[[#This Row],[trust_code]],trust_lookup[],4,0)</f>
        <v>Ambulance</v>
      </c>
    </row>
    <row r="318" spans="23:31" x14ac:dyDescent="0.35">
      <c r="W318" s="2" t="s">
        <v>124</v>
      </c>
      <c r="X318" s="2" t="s">
        <v>125</v>
      </c>
      <c r="Y318" s="2" t="s">
        <v>192</v>
      </c>
      <c r="Z318" s="2" t="s">
        <v>61</v>
      </c>
      <c r="AA318" s="23">
        <v>51</v>
      </c>
      <c r="AB318" s="23">
        <v>13</v>
      </c>
      <c r="AC318" s="2">
        <v>0.25490196078431299</v>
      </c>
      <c r="AD318" s="14" t="str">
        <f>VLOOKUP(flu_eth_ep[[#This Row],[trust_code]],trust_lookup[],3,0)</f>
        <v>LAS</v>
      </c>
      <c r="AE318" s="14" t="str">
        <f>VLOOKUP(flu_eth_ep[[#This Row],[trust_code]],trust_lookup[],4,0)</f>
        <v>Ambulance</v>
      </c>
    </row>
    <row r="319" spans="23:31" x14ac:dyDescent="0.35">
      <c r="W319" s="2" t="s">
        <v>124</v>
      </c>
      <c r="X319" s="2" t="s">
        <v>125</v>
      </c>
      <c r="Y319" s="2" t="s">
        <v>192</v>
      </c>
      <c r="Z319" s="2" t="s">
        <v>75</v>
      </c>
      <c r="AA319" s="23">
        <v>36</v>
      </c>
      <c r="AB319" s="23">
        <v>7</v>
      </c>
      <c r="AC319" s="2">
        <v>0.194444444444444</v>
      </c>
      <c r="AD319" s="14" t="str">
        <f>VLOOKUP(flu_eth_ep[[#This Row],[trust_code]],trust_lookup[],3,0)</f>
        <v>LAS</v>
      </c>
      <c r="AE319" s="14" t="str">
        <f>VLOOKUP(flu_eth_ep[[#This Row],[trust_code]],trust_lookup[],4,0)</f>
        <v>Ambulance</v>
      </c>
    </row>
    <row r="320" spans="23:31" x14ac:dyDescent="0.35">
      <c r="W320" s="2" t="s">
        <v>124</v>
      </c>
      <c r="X320" s="2" t="s">
        <v>125</v>
      </c>
      <c r="Y320" s="2" t="s">
        <v>192</v>
      </c>
      <c r="Z320" s="2" t="s">
        <v>29</v>
      </c>
      <c r="AA320" s="23">
        <v>42</v>
      </c>
      <c r="AB320" s="23">
        <v>18</v>
      </c>
      <c r="AC320" s="2">
        <v>0.42857142857142799</v>
      </c>
      <c r="AD320" s="14" t="str">
        <f>VLOOKUP(flu_eth_ep[[#This Row],[trust_code]],trust_lookup[],3,0)</f>
        <v>LAS</v>
      </c>
      <c r="AE320" s="14" t="str">
        <f>VLOOKUP(flu_eth_ep[[#This Row],[trust_code]],trust_lookup[],4,0)</f>
        <v>Ambulance</v>
      </c>
    </row>
    <row r="321" spans="23:31" x14ac:dyDescent="0.35">
      <c r="W321" s="2" t="s">
        <v>124</v>
      </c>
      <c r="X321" s="2" t="s">
        <v>125</v>
      </c>
      <c r="Y321" s="2" t="s">
        <v>192</v>
      </c>
      <c r="Z321" s="2" t="s">
        <v>123</v>
      </c>
      <c r="AA321" s="23">
        <v>41</v>
      </c>
      <c r="AB321" s="23">
        <v>20</v>
      </c>
      <c r="AC321" s="2">
        <v>0.48780487804877998</v>
      </c>
      <c r="AD321" s="14" t="str">
        <f>VLOOKUP(flu_eth_ep[[#This Row],[trust_code]],trust_lookup[],3,0)</f>
        <v>LAS</v>
      </c>
      <c r="AE321" s="14" t="str">
        <f>VLOOKUP(flu_eth_ep[[#This Row],[trust_code]],trust_lookup[],4,0)</f>
        <v>Ambulance</v>
      </c>
    </row>
    <row r="322" spans="23:31" x14ac:dyDescent="0.35">
      <c r="W322" s="2" t="s">
        <v>124</v>
      </c>
      <c r="X322" s="2" t="s">
        <v>125</v>
      </c>
      <c r="Y322" s="2" t="s">
        <v>192</v>
      </c>
      <c r="Z322" s="2" t="s">
        <v>141</v>
      </c>
      <c r="AA322" s="23">
        <v>52</v>
      </c>
      <c r="AB322" s="23">
        <v>17</v>
      </c>
      <c r="AC322" s="2">
        <v>0.32692307692307598</v>
      </c>
      <c r="AD322" s="14" t="str">
        <f>VLOOKUP(flu_eth_ep[[#This Row],[trust_code]],trust_lookup[],3,0)</f>
        <v>LAS</v>
      </c>
      <c r="AE322" s="14" t="str">
        <f>VLOOKUP(flu_eth_ep[[#This Row],[trust_code]],trust_lookup[],4,0)</f>
        <v>Ambulance</v>
      </c>
    </row>
    <row r="323" spans="23:31" x14ac:dyDescent="0.35">
      <c r="W323" s="2" t="s">
        <v>124</v>
      </c>
      <c r="X323" s="2" t="s">
        <v>125</v>
      </c>
      <c r="Y323" s="2" t="s">
        <v>192</v>
      </c>
      <c r="Z323" s="2" t="s">
        <v>112</v>
      </c>
      <c r="AA323" s="23">
        <v>98</v>
      </c>
      <c r="AB323" s="23">
        <v>44</v>
      </c>
      <c r="AC323" s="2">
        <v>0.44897959183673403</v>
      </c>
      <c r="AD323" s="14" t="str">
        <f>VLOOKUP(flu_eth_ep[[#This Row],[trust_code]],trust_lookup[],3,0)</f>
        <v>LAS</v>
      </c>
      <c r="AE323" s="14" t="str">
        <f>VLOOKUP(flu_eth_ep[[#This Row],[trust_code]],trust_lookup[],4,0)</f>
        <v>Ambulance</v>
      </c>
    </row>
    <row r="324" spans="23:31" x14ac:dyDescent="0.35">
      <c r="W324" s="2" t="s">
        <v>124</v>
      </c>
      <c r="X324" s="2" t="s">
        <v>125</v>
      </c>
      <c r="Y324" s="2" t="s">
        <v>192</v>
      </c>
      <c r="Z324" s="2" t="s">
        <v>54</v>
      </c>
      <c r="AA324" s="23">
        <v>402</v>
      </c>
      <c r="AB324" s="23">
        <v>214</v>
      </c>
      <c r="AC324" s="2">
        <v>0.53233830845771102</v>
      </c>
      <c r="AD324" s="14" t="str">
        <f>VLOOKUP(flu_eth_ep[[#This Row],[trust_code]],trust_lookup[],3,0)</f>
        <v>LAS</v>
      </c>
      <c r="AE324" s="14" t="str">
        <f>VLOOKUP(flu_eth_ep[[#This Row],[trust_code]],trust_lookup[],4,0)</f>
        <v>Ambulance</v>
      </c>
    </row>
    <row r="325" spans="23:31" x14ac:dyDescent="0.35">
      <c r="W325" s="2" t="s">
        <v>124</v>
      </c>
      <c r="X325" s="2" t="s">
        <v>125</v>
      </c>
      <c r="Y325" s="2" t="s">
        <v>192</v>
      </c>
      <c r="Z325" s="2" t="s">
        <v>68</v>
      </c>
      <c r="AA325" s="23">
        <v>2446</v>
      </c>
      <c r="AB325" s="23">
        <v>1291</v>
      </c>
      <c r="AC325" s="2">
        <v>0.52780049059689205</v>
      </c>
      <c r="AD325" s="14" t="str">
        <f>VLOOKUP(flu_eth_ep[[#This Row],[trust_code]],trust_lookup[],3,0)</f>
        <v>LAS</v>
      </c>
      <c r="AE325" s="14" t="str">
        <f>VLOOKUP(flu_eth_ep[[#This Row],[trust_code]],trust_lookup[],4,0)</f>
        <v>Ambulance</v>
      </c>
    </row>
    <row r="326" spans="23:31" x14ac:dyDescent="0.35">
      <c r="W326" s="2" t="s">
        <v>124</v>
      </c>
      <c r="X326" s="2" t="s">
        <v>125</v>
      </c>
      <c r="Y326" s="2" t="s">
        <v>192</v>
      </c>
      <c r="Z326" s="2" t="s">
        <v>36</v>
      </c>
      <c r="AA326" s="23">
        <v>4</v>
      </c>
      <c r="AB326" s="23">
        <v>1</v>
      </c>
      <c r="AC326" s="2">
        <v>0.25</v>
      </c>
      <c r="AD326" s="14" t="str">
        <f>VLOOKUP(flu_eth_ep[[#This Row],[trust_code]],trust_lookup[],3,0)</f>
        <v>LAS</v>
      </c>
      <c r="AE326" s="14" t="str">
        <f>VLOOKUP(flu_eth_ep[[#This Row],[trust_code]],trust_lookup[],4,0)</f>
        <v>Ambulance</v>
      </c>
    </row>
    <row r="327" spans="23:31" x14ac:dyDescent="0.35">
      <c r="W327" s="2" t="s">
        <v>124</v>
      </c>
      <c r="X327" s="2" t="s">
        <v>125</v>
      </c>
      <c r="Y327" s="2" t="s">
        <v>192</v>
      </c>
      <c r="Z327" s="2" t="s">
        <v>129</v>
      </c>
      <c r="AA327" s="23">
        <v>25</v>
      </c>
      <c r="AB327" s="23">
        <v>10</v>
      </c>
      <c r="AC327" s="2">
        <v>0.4</v>
      </c>
      <c r="AD327" s="14" t="str">
        <f>VLOOKUP(flu_eth_ep[[#This Row],[trust_code]],trust_lookup[],3,0)</f>
        <v>LAS</v>
      </c>
      <c r="AE327" s="14" t="str">
        <f>VLOOKUP(flu_eth_ep[[#This Row],[trust_code]],trust_lookup[],4,0)</f>
        <v>Ambulance</v>
      </c>
    </row>
    <row r="328" spans="23:31" x14ac:dyDescent="0.35">
      <c r="W328" s="2" t="s">
        <v>124</v>
      </c>
      <c r="X328" s="2" t="s">
        <v>125</v>
      </c>
      <c r="Y328" s="2" t="s">
        <v>192</v>
      </c>
      <c r="Z328" s="2" t="s">
        <v>94</v>
      </c>
      <c r="AA328" s="23">
        <v>10</v>
      </c>
      <c r="AB328" s="23">
        <v>5</v>
      </c>
      <c r="AC328" s="2">
        <v>0.5</v>
      </c>
      <c r="AD328" s="14" t="str">
        <f>VLOOKUP(flu_eth_ep[[#This Row],[trust_code]],trust_lookup[],3,0)</f>
        <v>LAS</v>
      </c>
      <c r="AE328" s="14" t="str">
        <f>VLOOKUP(flu_eth_ep[[#This Row],[trust_code]],trust_lookup[],4,0)</f>
        <v>Ambulance</v>
      </c>
    </row>
    <row r="329" spans="23:31" x14ac:dyDescent="0.35">
      <c r="W329" s="2" t="s">
        <v>130</v>
      </c>
      <c r="X329" s="2" t="s">
        <v>131</v>
      </c>
      <c r="Y329" s="2" t="s">
        <v>192</v>
      </c>
      <c r="Z329" s="2" t="s">
        <v>129</v>
      </c>
      <c r="AA329" s="23">
        <v>14</v>
      </c>
      <c r="AB329" s="23">
        <v>2</v>
      </c>
      <c r="AC329" s="2">
        <v>0.14285714285714199</v>
      </c>
      <c r="AD329" s="14" t="str">
        <f>VLOOKUP(flu_eth_ep[[#This Row],[trust_code]],trust_lookup[],3,0)</f>
        <v>LNW</v>
      </c>
      <c r="AE329" s="14" t="str">
        <f>VLOOKUP(flu_eth_ep[[#This Row],[trust_code]],trust_lookup[],4,0)</f>
        <v>Acute</v>
      </c>
    </row>
    <row r="330" spans="23:31" x14ac:dyDescent="0.35">
      <c r="W330" s="2" t="s">
        <v>130</v>
      </c>
      <c r="X330" s="2" t="s">
        <v>131</v>
      </c>
      <c r="Y330" s="2" t="s">
        <v>192</v>
      </c>
      <c r="Z330" s="2" t="s">
        <v>36</v>
      </c>
      <c r="AA330" s="23">
        <v>7</v>
      </c>
      <c r="AB330" s="23">
        <v>2</v>
      </c>
      <c r="AC330" s="2">
        <v>0.28571428571428498</v>
      </c>
      <c r="AD330" s="14" t="str">
        <f>VLOOKUP(flu_eth_ep[[#This Row],[trust_code]],trust_lookup[],3,0)</f>
        <v>LNW</v>
      </c>
      <c r="AE330" s="14" t="str">
        <f>VLOOKUP(flu_eth_ep[[#This Row],[trust_code]],trust_lookup[],4,0)</f>
        <v>Acute</v>
      </c>
    </row>
    <row r="331" spans="23:31" x14ac:dyDescent="0.35">
      <c r="W331" s="2" t="s">
        <v>130</v>
      </c>
      <c r="X331" s="2" t="s">
        <v>131</v>
      </c>
      <c r="Y331" s="2" t="s">
        <v>192</v>
      </c>
      <c r="Z331" s="2" t="s">
        <v>106</v>
      </c>
      <c r="AA331" s="23">
        <v>57</v>
      </c>
      <c r="AB331" s="23">
        <v>33</v>
      </c>
      <c r="AC331" s="2">
        <v>0.57894736842105199</v>
      </c>
      <c r="AD331" s="14" t="str">
        <f>VLOOKUP(flu_eth_ep[[#This Row],[trust_code]],trust_lookup[],3,0)</f>
        <v>LNW</v>
      </c>
      <c r="AE331" s="14" t="str">
        <f>VLOOKUP(flu_eth_ep[[#This Row],[trust_code]],trust_lookup[],4,0)</f>
        <v>Acute</v>
      </c>
    </row>
    <row r="332" spans="23:31" x14ac:dyDescent="0.35">
      <c r="W332" s="2" t="s">
        <v>130</v>
      </c>
      <c r="X332" s="2" t="s">
        <v>131</v>
      </c>
      <c r="Y332" s="2" t="s">
        <v>192</v>
      </c>
      <c r="Z332" s="2" t="s">
        <v>135</v>
      </c>
      <c r="AA332" s="23">
        <v>66</v>
      </c>
      <c r="AB332" s="23">
        <v>35</v>
      </c>
      <c r="AC332" s="2">
        <v>0.53030303030303005</v>
      </c>
      <c r="AD332" s="14" t="str">
        <f>VLOOKUP(flu_eth_ep[[#This Row],[trust_code]],trust_lookup[],3,0)</f>
        <v>LNW</v>
      </c>
      <c r="AE332" s="14" t="str">
        <f>VLOOKUP(flu_eth_ep[[#This Row],[trust_code]],trust_lookup[],4,0)</f>
        <v>Acute</v>
      </c>
    </row>
    <row r="333" spans="23:31" x14ac:dyDescent="0.35">
      <c r="W333" s="2" t="s">
        <v>130</v>
      </c>
      <c r="X333" s="2" t="s">
        <v>131</v>
      </c>
      <c r="Y333" s="2" t="s">
        <v>192</v>
      </c>
      <c r="Z333" s="2" t="s">
        <v>82</v>
      </c>
      <c r="AA333" s="23">
        <v>108</v>
      </c>
      <c r="AB333" s="23">
        <v>44</v>
      </c>
      <c r="AC333" s="2">
        <v>0.407407407407407</v>
      </c>
      <c r="AD333" s="14" t="str">
        <f>VLOOKUP(flu_eth_ep[[#This Row],[trust_code]],trust_lookup[],3,0)</f>
        <v>LNW</v>
      </c>
      <c r="AE333" s="14" t="str">
        <f>VLOOKUP(flu_eth_ep[[#This Row],[trust_code]],trust_lookup[],4,0)</f>
        <v>Acute</v>
      </c>
    </row>
    <row r="334" spans="23:31" x14ac:dyDescent="0.35">
      <c r="W334" s="2" t="s">
        <v>130</v>
      </c>
      <c r="X334" s="2" t="s">
        <v>131</v>
      </c>
      <c r="Y334" s="2" t="s">
        <v>192</v>
      </c>
      <c r="Z334" s="2" t="s">
        <v>100</v>
      </c>
      <c r="AA334" s="23">
        <v>446</v>
      </c>
      <c r="AB334" s="23">
        <v>129</v>
      </c>
      <c r="AC334" s="2">
        <v>0.28923766816143498</v>
      </c>
      <c r="AD334" s="14" t="str">
        <f>VLOOKUP(flu_eth_ep[[#This Row],[trust_code]],trust_lookup[],3,0)</f>
        <v>LNW</v>
      </c>
      <c r="AE334" s="14" t="str">
        <f>VLOOKUP(flu_eth_ep[[#This Row],[trust_code]],trust_lookup[],4,0)</f>
        <v>Acute</v>
      </c>
    </row>
    <row r="335" spans="23:31" x14ac:dyDescent="0.35">
      <c r="W335" s="2" t="s">
        <v>130</v>
      </c>
      <c r="X335" s="2" t="s">
        <v>131</v>
      </c>
      <c r="Y335" s="2" t="s">
        <v>192</v>
      </c>
      <c r="Z335" s="2" t="s">
        <v>141</v>
      </c>
      <c r="AA335" s="23">
        <v>759</v>
      </c>
      <c r="AB335" s="23">
        <v>352</v>
      </c>
      <c r="AC335" s="2">
        <v>0.46376811594202899</v>
      </c>
      <c r="AD335" s="14" t="str">
        <f>VLOOKUP(flu_eth_ep[[#This Row],[trust_code]],trust_lookup[],3,0)</f>
        <v>LNW</v>
      </c>
      <c r="AE335" s="14" t="str">
        <f>VLOOKUP(flu_eth_ep[[#This Row],[trust_code]],trust_lookup[],4,0)</f>
        <v>Acute</v>
      </c>
    </row>
    <row r="336" spans="23:31" x14ac:dyDescent="0.35">
      <c r="W336" s="2" t="s">
        <v>130</v>
      </c>
      <c r="X336" s="2" t="s">
        <v>131</v>
      </c>
      <c r="Y336" s="2" t="s">
        <v>192</v>
      </c>
      <c r="Z336" s="2" t="s">
        <v>36</v>
      </c>
      <c r="AA336" s="23">
        <v>268</v>
      </c>
      <c r="AB336" s="23">
        <v>115</v>
      </c>
      <c r="AC336" s="2">
        <v>0.42910447761193998</v>
      </c>
      <c r="AD336" s="14" t="str">
        <f>VLOOKUP(flu_eth_ep[[#This Row],[trust_code]],trust_lookup[],3,0)</f>
        <v>LNW</v>
      </c>
      <c r="AE336" s="14" t="str">
        <f>VLOOKUP(flu_eth_ep[[#This Row],[trust_code]],trust_lookup[],4,0)</f>
        <v>Acute</v>
      </c>
    </row>
    <row r="337" spans="23:31" x14ac:dyDescent="0.35">
      <c r="W337" s="2" t="s">
        <v>130</v>
      </c>
      <c r="X337" s="2" t="s">
        <v>131</v>
      </c>
      <c r="Y337" s="2" t="s">
        <v>192</v>
      </c>
      <c r="Z337" s="2" t="s">
        <v>29</v>
      </c>
      <c r="AA337" s="23">
        <v>54</v>
      </c>
      <c r="AB337" s="23">
        <v>18</v>
      </c>
      <c r="AC337" s="2">
        <v>0.33333333333333298</v>
      </c>
      <c r="AD337" s="14" t="str">
        <f>VLOOKUP(flu_eth_ep[[#This Row],[trust_code]],trust_lookup[],3,0)</f>
        <v>LNW</v>
      </c>
      <c r="AE337" s="14" t="str">
        <f>VLOOKUP(flu_eth_ep[[#This Row],[trust_code]],trust_lookup[],4,0)</f>
        <v>Acute</v>
      </c>
    </row>
    <row r="338" spans="23:31" x14ac:dyDescent="0.35">
      <c r="W338" s="2" t="s">
        <v>130</v>
      </c>
      <c r="X338" s="2" t="s">
        <v>131</v>
      </c>
      <c r="Y338" s="2" t="s">
        <v>192</v>
      </c>
      <c r="Z338" s="2" t="s">
        <v>112</v>
      </c>
      <c r="AA338" s="23">
        <v>405</v>
      </c>
      <c r="AB338" s="23">
        <v>176</v>
      </c>
      <c r="AC338" s="2">
        <v>0.43456790123456701</v>
      </c>
      <c r="AD338" s="14" t="str">
        <f>VLOOKUP(flu_eth_ep[[#This Row],[trust_code]],trust_lookup[],3,0)</f>
        <v>LNW</v>
      </c>
      <c r="AE338" s="14" t="str">
        <f>VLOOKUP(flu_eth_ep[[#This Row],[trust_code]],trust_lookup[],4,0)</f>
        <v>Acute</v>
      </c>
    </row>
    <row r="339" spans="23:31" x14ac:dyDescent="0.35">
      <c r="W339" s="2" t="s">
        <v>130</v>
      </c>
      <c r="X339" s="2" t="s">
        <v>131</v>
      </c>
      <c r="Y339" s="2" t="s">
        <v>192</v>
      </c>
      <c r="Z339" s="2" t="s">
        <v>88</v>
      </c>
      <c r="AA339" s="23">
        <v>26</v>
      </c>
      <c r="AB339" s="23">
        <v>9</v>
      </c>
      <c r="AC339" s="2">
        <v>0.34615384615384598</v>
      </c>
      <c r="AD339" s="14" t="str">
        <f>VLOOKUP(flu_eth_ep[[#This Row],[trust_code]],trust_lookup[],3,0)</f>
        <v>LNW</v>
      </c>
      <c r="AE339" s="14" t="str">
        <f>VLOOKUP(flu_eth_ep[[#This Row],[trust_code]],trust_lookup[],4,0)</f>
        <v>Acute</v>
      </c>
    </row>
    <row r="340" spans="23:31" x14ac:dyDescent="0.35">
      <c r="W340" s="2" t="s">
        <v>130</v>
      </c>
      <c r="X340" s="2" t="s">
        <v>131</v>
      </c>
      <c r="Y340" s="2" t="s">
        <v>192</v>
      </c>
      <c r="Z340" s="2" t="s">
        <v>75</v>
      </c>
      <c r="AA340" s="23">
        <v>117</v>
      </c>
      <c r="AB340" s="23">
        <v>22</v>
      </c>
      <c r="AC340" s="2">
        <v>0.188034188034188</v>
      </c>
      <c r="AD340" s="14" t="str">
        <f>VLOOKUP(flu_eth_ep[[#This Row],[trust_code]],trust_lookup[],3,0)</f>
        <v>LNW</v>
      </c>
      <c r="AE340" s="14" t="str">
        <f>VLOOKUP(flu_eth_ep[[#This Row],[trust_code]],trust_lookup[],4,0)</f>
        <v>Acute</v>
      </c>
    </row>
    <row r="341" spans="23:31" x14ac:dyDescent="0.35">
      <c r="W341" s="2" t="s">
        <v>130</v>
      </c>
      <c r="X341" s="2" t="s">
        <v>131</v>
      </c>
      <c r="Y341" s="2" t="s">
        <v>192</v>
      </c>
      <c r="Z341" s="2" t="s">
        <v>68</v>
      </c>
      <c r="AA341" s="23">
        <v>545</v>
      </c>
      <c r="AB341" s="23">
        <v>320</v>
      </c>
      <c r="AC341" s="2">
        <v>0.58715596330275199</v>
      </c>
      <c r="AD341" s="14" t="str">
        <f>VLOOKUP(flu_eth_ep[[#This Row],[trust_code]],trust_lookup[],3,0)</f>
        <v>LNW</v>
      </c>
      <c r="AE341" s="14" t="str">
        <f>VLOOKUP(flu_eth_ep[[#This Row],[trust_code]],trust_lookup[],4,0)</f>
        <v>Acute</v>
      </c>
    </row>
    <row r="342" spans="23:31" x14ac:dyDescent="0.35">
      <c r="W342" s="2" t="s">
        <v>130</v>
      </c>
      <c r="X342" s="2" t="s">
        <v>131</v>
      </c>
      <c r="Y342" s="2" t="s">
        <v>192</v>
      </c>
      <c r="Z342" s="2" t="s">
        <v>61</v>
      </c>
      <c r="AA342" s="23">
        <v>111</v>
      </c>
      <c r="AB342" s="23">
        <v>27</v>
      </c>
      <c r="AC342" s="2">
        <v>0.24324324324324301</v>
      </c>
      <c r="AD342" s="14" t="str">
        <f>VLOOKUP(flu_eth_ep[[#This Row],[trust_code]],trust_lookup[],3,0)</f>
        <v>LNW</v>
      </c>
      <c r="AE342" s="14" t="str">
        <f>VLOOKUP(flu_eth_ep[[#This Row],[trust_code]],trust_lookup[],4,0)</f>
        <v>Acute</v>
      </c>
    </row>
    <row r="343" spans="23:31" x14ac:dyDescent="0.35">
      <c r="W343" s="2" t="s">
        <v>130</v>
      </c>
      <c r="X343" s="2" t="s">
        <v>131</v>
      </c>
      <c r="Y343" s="2" t="s">
        <v>192</v>
      </c>
      <c r="Z343" s="2" t="s">
        <v>47</v>
      </c>
      <c r="AA343" s="23">
        <v>39</v>
      </c>
      <c r="AB343" s="23">
        <v>14</v>
      </c>
      <c r="AC343" s="2">
        <v>0.35897435897435898</v>
      </c>
      <c r="AD343" s="14" t="str">
        <f>VLOOKUP(flu_eth_ep[[#This Row],[trust_code]],trust_lookup[],3,0)</f>
        <v>LNW</v>
      </c>
      <c r="AE343" s="14" t="str">
        <f>VLOOKUP(flu_eth_ep[[#This Row],[trust_code]],trust_lookup[],4,0)</f>
        <v>Acute</v>
      </c>
    </row>
    <row r="344" spans="23:31" x14ac:dyDescent="0.35">
      <c r="W344" s="2" t="s">
        <v>130</v>
      </c>
      <c r="X344" s="2" t="s">
        <v>131</v>
      </c>
      <c r="Y344" s="2" t="s">
        <v>192</v>
      </c>
      <c r="Z344" s="2" t="s">
        <v>94</v>
      </c>
      <c r="AA344" s="23">
        <v>24</v>
      </c>
      <c r="AB344" s="23">
        <v>9</v>
      </c>
      <c r="AC344" s="2">
        <v>0.375</v>
      </c>
      <c r="AD344" s="14" t="str">
        <f>VLOOKUP(flu_eth_ep[[#This Row],[trust_code]],trust_lookup[],3,0)</f>
        <v>LNW</v>
      </c>
      <c r="AE344" s="14" t="str">
        <f>VLOOKUP(flu_eth_ep[[#This Row],[trust_code]],trust_lookup[],4,0)</f>
        <v>Acute</v>
      </c>
    </row>
    <row r="345" spans="23:31" x14ac:dyDescent="0.35">
      <c r="W345" s="2" t="s">
        <v>130</v>
      </c>
      <c r="X345" s="2" t="s">
        <v>131</v>
      </c>
      <c r="Y345" s="2" t="s">
        <v>192</v>
      </c>
      <c r="Z345" s="2" t="s">
        <v>123</v>
      </c>
      <c r="AA345" s="23">
        <v>877</v>
      </c>
      <c r="AB345" s="23">
        <v>362</v>
      </c>
      <c r="AC345" s="2">
        <v>0.41277080957810702</v>
      </c>
      <c r="AD345" s="14" t="str">
        <f>VLOOKUP(flu_eth_ep[[#This Row],[trust_code]],trust_lookup[],3,0)</f>
        <v>LNW</v>
      </c>
      <c r="AE345" s="14" t="str">
        <f>VLOOKUP(flu_eth_ep[[#This Row],[trust_code]],trust_lookup[],4,0)</f>
        <v>Acute</v>
      </c>
    </row>
    <row r="346" spans="23:31" x14ac:dyDescent="0.35">
      <c r="W346" s="2" t="s">
        <v>130</v>
      </c>
      <c r="X346" s="2" t="s">
        <v>131</v>
      </c>
      <c r="Y346" s="2" t="s">
        <v>192</v>
      </c>
      <c r="Z346" s="2" t="s">
        <v>54</v>
      </c>
      <c r="AA346" s="23">
        <v>307</v>
      </c>
      <c r="AB346" s="23">
        <v>118</v>
      </c>
      <c r="AC346" s="2">
        <v>0.38436482084690499</v>
      </c>
      <c r="AD346" s="14" t="str">
        <f>VLOOKUP(flu_eth_ep[[#This Row],[trust_code]],trust_lookup[],3,0)</f>
        <v>LNW</v>
      </c>
      <c r="AE346" s="14" t="str">
        <f>VLOOKUP(flu_eth_ep[[#This Row],[trust_code]],trust_lookup[],4,0)</f>
        <v>Acute</v>
      </c>
    </row>
    <row r="347" spans="23:31" x14ac:dyDescent="0.35">
      <c r="W347" s="2" t="s">
        <v>176</v>
      </c>
      <c r="X347" s="2" t="s">
        <v>177</v>
      </c>
      <c r="Y347" s="2" t="s">
        <v>192</v>
      </c>
      <c r="Z347" s="2" t="s">
        <v>61</v>
      </c>
      <c r="AA347" s="23">
        <v>55</v>
      </c>
      <c r="AB347" s="23">
        <v>11</v>
      </c>
      <c r="AC347" s="2">
        <v>0.2</v>
      </c>
      <c r="AD347" s="14" t="str">
        <f>VLOOKUP(flu_eth_ep[[#This Row],[trust_code]],trust_lookup[],3,0)</f>
        <v>Hillingdon</v>
      </c>
      <c r="AE347" s="14" t="str">
        <f>VLOOKUP(flu_eth_ep[[#This Row],[trust_code]],trust_lookup[],4,0)</f>
        <v>Acute</v>
      </c>
    </row>
    <row r="348" spans="23:31" x14ac:dyDescent="0.35">
      <c r="W348" s="2" t="s">
        <v>176</v>
      </c>
      <c r="X348" s="2" t="s">
        <v>177</v>
      </c>
      <c r="Y348" s="2" t="s">
        <v>192</v>
      </c>
      <c r="Z348" s="2" t="s">
        <v>123</v>
      </c>
      <c r="AA348" s="23">
        <v>553</v>
      </c>
      <c r="AB348" s="23">
        <v>176</v>
      </c>
      <c r="AC348" s="2">
        <v>0.31826401446654601</v>
      </c>
      <c r="AD348" s="14" t="str">
        <f>VLOOKUP(flu_eth_ep[[#This Row],[trust_code]],trust_lookup[],3,0)</f>
        <v>Hillingdon</v>
      </c>
      <c r="AE348" s="14" t="str">
        <f>VLOOKUP(flu_eth_ep[[#This Row],[trust_code]],trust_lookup[],4,0)</f>
        <v>Acute</v>
      </c>
    </row>
    <row r="349" spans="23:31" x14ac:dyDescent="0.35">
      <c r="W349" s="2" t="s">
        <v>176</v>
      </c>
      <c r="X349" s="2" t="s">
        <v>177</v>
      </c>
      <c r="Y349" s="2" t="s">
        <v>192</v>
      </c>
      <c r="Z349" s="2" t="s">
        <v>106</v>
      </c>
      <c r="AA349" s="23">
        <v>29</v>
      </c>
      <c r="AB349" s="23">
        <v>17</v>
      </c>
      <c r="AC349" s="2">
        <v>0.58620689655172398</v>
      </c>
      <c r="AD349" s="14" t="str">
        <f>VLOOKUP(flu_eth_ep[[#This Row],[trust_code]],trust_lookup[],3,0)</f>
        <v>Hillingdon</v>
      </c>
      <c r="AE349" s="14" t="str">
        <f>VLOOKUP(flu_eth_ep[[#This Row],[trust_code]],trust_lookup[],4,0)</f>
        <v>Acute</v>
      </c>
    </row>
    <row r="350" spans="23:31" x14ac:dyDescent="0.35">
      <c r="W350" s="2" t="s">
        <v>176</v>
      </c>
      <c r="X350" s="2" t="s">
        <v>177</v>
      </c>
      <c r="Y350" s="2" t="s">
        <v>192</v>
      </c>
      <c r="Z350" s="2" t="s">
        <v>100</v>
      </c>
      <c r="AA350" s="23">
        <v>288</v>
      </c>
      <c r="AB350" s="23">
        <v>69</v>
      </c>
      <c r="AC350" s="2">
        <v>0.23958333333333301</v>
      </c>
      <c r="AD350" s="14" t="str">
        <f>VLOOKUP(flu_eth_ep[[#This Row],[trust_code]],trust_lookup[],3,0)</f>
        <v>Hillingdon</v>
      </c>
      <c r="AE350" s="14" t="str">
        <f>VLOOKUP(flu_eth_ep[[#This Row],[trust_code]],trust_lookup[],4,0)</f>
        <v>Acute</v>
      </c>
    </row>
    <row r="351" spans="23:31" x14ac:dyDescent="0.35">
      <c r="W351" s="2" t="s">
        <v>176</v>
      </c>
      <c r="X351" s="2" t="s">
        <v>177</v>
      </c>
      <c r="Y351" s="2" t="s">
        <v>192</v>
      </c>
      <c r="Z351" s="2" t="s">
        <v>141</v>
      </c>
      <c r="AA351" s="23">
        <v>450</v>
      </c>
      <c r="AB351" s="23">
        <v>153</v>
      </c>
      <c r="AC351" s="2">
        <v>0.34</v>
      </c>
      <c r="AD351" s="14" t="str">
        <f>VLOOKUP(flu_eth_ep[[#This Row],[trust_code]],trust_lookup[],3,0)</f>
        <v>Hillingdon</v>
      </c>
      <c r="AE351" s="14" t="str">
        <f>VLOOKUP(flu_eth_ep[[#This Row],[trust_code]],trust_lookup[],4,0)</f>
        <v>Acute</v>
      </c>
    </row>
    <row r="352" spans="23:31" x14ac:dyDescent="0.35">
      <c r="W352" s="2" t="s">
        <v>176</v>
      </c>
      <c r="X352" s="2" t="s">
        <v>177</v>
      </c>
      <c r="Y352" s="2" t="s">
        <v>192</v>
      </c>
      <c r="Z352" s="2" t="s">
        <v>54</v>
      </c>
      <c r="AA352" s="23">
        <v>206</v>
      </c>
      <c r="AB352" s="23">
        <v>70</v>
      </c>
      <c r="AC352" s="2">
        <v>0.33980582524271802</v>
      </c>
      <c r="AD352" s="14" t="str">
        <f>VLOOKUP(flu_eth_ep[[#This Row],[trust_code]],trust_lookup[],3,0)</f>
        <v>Hillingdon</v>
      </c>
      <c r="AE352" s="14" t="str">
        <f>VLOOKUP(flu_eth_ep[[#This Row],[trust_code]],trust_lookup[],4,0)</f>
        <v>Acute</v>
      </c>
    </row>
    <row r="353" spans="23:31" x14ac:dyDescent="0.35">
      <c r="W353" s="2" t="s">
        <v>176</v>
      </c>
      <c r="X353" s="2" t="s">
        <v>177</v>
      </c>
      <c r="Y353" s="2" t="s">
        <v>192</v>
      </c>
      <c r="Z353" s="2" t="s">
        <v>47</v>
      </c>
      <c r="AA353" s="23">
        <v>30</v>
      </c>
      <c r="AB353" s="23">
        <v>4</v>
      </c>
      <c r="AC353" s="2">
        <v>0.133333333333333</v>
      </c>
      <c r="AD353" s="14" t="str">
        <f>VLOOKUP(flu_eth_ep[[#This Row],[trust_code]],trust_lookup[],3,0)</f>
        <v>Hillingdon</v>
      </c>
      <c r="AE353" s="14" t="str">
        <f>VLOOKUP(flu_eth_ep[[#This Row],[trust_code]],trust_lookup[],4,0)</f>
        <v>Acute</v>
      </c>
    </row>
    <row r="354" spans="23:31" x14ac:dyDescent="0.35">
      <c r="W354" s="2" t="s">
        <v>176</v>
      </c>
      <c r="X354" s="2" t="s">
        <v>177</v>
      </c>
      <c r="Y354" s="2" t="s">
        <v>192</v>
      </c>
      <c r="Z354" s="2" t="s">
        <v>68</v>
      </c>
      <c r="AA354" s="23">
        <v>697</v>
      </c>
      <c r="AB354" s="23">
        <v>332</v>
      </c>
      <c r="AC354" s="2">
        <v>0.47632711621233798</v>
      </c>
      <c r="AD354" s="14" t="str">
        <f>VLOOKUP(flu_eth_ep[[#This Row],[trust_code]],trust_lookup[],3,0)</f>
        <v>Hillingdon</v>
      </c>
      <c r="AE354" s="14" t="str">
        <f>VLOOKUP(flu_eth_ep[[#This Row],[trust_code]],trust_lookup[],4,0)</f>
        <v>Acute</v>
      </c>
    </row>
    <row r="355" spans="23:31" x14ac:dyDescent="0.35">
      <c r="W355" s="2" t="s">
        <v>176</v>
      </c>
      <c r="X355" s="2" t="s">
        <v>177</v>
      </c>
      <c r="Y355" s="2" t="s">
        <v>192</v>
      </c>
      <c r="Z355" s="2" t="s">
        <v>112</v>
      </c>
      <c r="AA355" s="23">
        <v>244</v>
      </c>
      <c r="AB355" s="23">
        <v>70</v>
      </c>
      <c r="AC355" s="2">
        <v>0.286885245901639</v>
      </c>
      <c r="AD355" s="14" t="str">
        <f>VLOOKUP(flu_eth_ep[[#This Row],[trust_code]],trust_lookup[],3,0)</f>
        <v>Hillingdon</v>
      </c>
      <c r="AE355" s="14" t="str">
        <f>VLOOKUP(flu_eth_ep[[#This Row],[trust_code]],trust_lookup[],4,0)</f>
        <v>Acute</v>
      </c>
    </row>
    <row r="356" spans="23:31" x14ac:dyDescent="0.35">
      <c r="W356" s="2" t="s">
        <v>176</v>
      </c>
      <c r="X356" s="2" t="s">
        <v>177</v>
      </c>
      <c r="Y356" s="2" t="s">
        <v>192</v>
      </c>
      <c r="Z356" s="2" t="s">
        <v>29</v>
      </c>
      <c r="AA356" s="23">
        <v>39</v>
      </c>
      <c r="AB356" s="23">
        <v>17</v>
      </c>
      <c r="AC356" s="2">
        <v>0.43589743589743501</v>
      </c>
      <c r="AD356" s="14" t="str">
        <f>VLOOKUP(flu_eth_ep[[#This Row],[trust_code]],trust_lookup[],3,0)</f>
        <v>Hillingdon</v>
      </c>
      <c r="AE356" s="14" t="str">
        <f>VLOOKUP(flu_eth_ep[[#This Row],[trust_code]],trust_lookup[],4,0)</f>
        <v>Acute</v>
      </c>
    </row>
    <row r="357" spans="23:31" x14ac:dyDescent="0.35">
      <c r="W357" s="2" t="s">
        <v>176</v>
      </c>
      <c r="X357" s="2" t="s">
        <v>177</v>
      </c>
      <c r="Y357" s="2" t="s">
        <v>192</v>
      </c>
      <c r="Z357" s="2" t="s">
        <v>135</v>
      </c>
      <c r="AA357" s="23">
        <v>38</v>
      </c>
      <c r="AB357" s="23">
        <v>20</v>
      </c>
      <c r="AC357" s="2">
        <v>0.52631578947368396</v>
      </c>
      <c r="AD357" s="14" t="str">
        <f>VLOOKUP(flu_eth_ep[[#This Row],[trust_code]],trust_lookup[],3,0)</f>
        <v>Hillingdon</v>
      </c>
      <c r="AE357" s="14" t="str">
        <f>VLOOKUP(flu_eth_ep[[#This Row],[trust_code]],trust_lookup[],4,0)</f>
        <v>Acute</v>
      </c>
    </row>
    <row r="358" spans="23:31" x14ac:dyDescent="0.35">
      <c r="W358" s="2" t="s">
        <v>176</v>
      </c>
      <c r="X358" s="2" t="s">
        <v>177</v>
      </c>
      <c r="Y358" s="2" t="s">
        <v>192</v>
      </c>
      <c r="Z358" s="2" t="s">
        <v>129</v>
      </c>
      <c r="AA358" s="23">
        <v>15</v>
      </c>
      <c r="AB358" s="23">
        <v>4</v>
      </c>
      <c r="AC358" s="2">
        <v>0.266666666666666</v>
      </c>
      <c r="AD358" s="14" t="str">
        <f>VLOOKUP(flu_eth_ep[[#This Row],[trust_code]],trust_lookup[],3,0)</f>
        <v>Hillingdon</v>
      </c>
      <c r="AE358" s="14" t="str">
        <f>VLOOKUP(flu_eth_ep[[#This Row],[trust_code]],trust_lookup[],4,0)</f>
        <v>Acute</v>
      </c>
    </row>
    <row r="359" spans="23:31" x14ac:dyDescent="0.35">
      <c r="W359" s="2" t="s">
        <v>176</v>
      </c>
      <c r="X359" s="2" t="s">
        <v>177</v>
      </c>
      <c r="Y359" s="2" t="s">
        <v>192</v>
      </c>
      <c r="Z359" s="2" t="s">
        <v>82</v>
      </c>
      <c r="AA359" s="23">
        <v>97</v>
      </c>
      <c r="AB359" s="23">
        <v>25</v>
      </c>
      <c r="AC359" s="2">
        <v>0.25773195876288602</v>
      </c>
      <c r="AD359" s="14" t="str">
        <f>VLOOKUP(flu_eth_ep[[#This Row],[trust_code]],trust_lookup[],3,0)</f>
        <v>Hillingdon</v>
      </c>
      <c r="AE359" s="14" t="str">
        <f>VLOOKUP(flu_eth_ep[[#This Row],[trust_code]],trust_lookup[],4,0)</f>
        <v>Acute</v>
      </c>
    </row>
    <row r="360" spans="23:31" x14ac:dyDescent="0.35">
      <c r="W360" s="2" t="s">
        <v>176</v>
      </c>
      <c r="X360" s="2" t="s">
        <v>177</v>
      </c>
      <c r="Y360" s="2" t="s">
        <v>192</v>
      </c>
      <c r="Z360" s="2" t="s">
        <v>94</v>
      </c>
      <c r="AA360" s="23">
        <v>14</v>
      </c>
      <c r="AB360" s="23">
        <v>8</v>
      </c>
      <c r="AC360" s="2">
        <v>0.57142857142857095</v>
      </c>
      <c r="AD360" s="14" t="str">
        <f>VLOOKUP(flu_eth_ep[[#This Row],[trust_code]],trust_lookup[],3,0)</f>
        <v>Hillingdon</v>
      </c>
      <c r="AE360" s="14" t="str">
        <f>VLOOKUP(flu_eth_ep[[#This Row],[trust_code]],trust_lookup[],4,0)</f>
        <v>Acute</v>
      </c>
    </row>
    <row r="361" spans="23:31" x14ac:dyDescent="0.35">
      <c r="W361" s="2" t="s">
        <v>176</v>
      </c>
      <c r="X361" s="2" t="s">
        <v>177</v>
      </c>
      <c r="Y361" s="2" t="s">
        <v>192</v>
      </c>
      <c r="Z361" s="2" t="s">
        <v>36</v>
      </c>
      <c r="AA361" s="23">
        <v>176</v>
      </c>
      <c r="AB361" s="23">
        <v>42</v>
      </c>
      <c r="AC361" s="2">
        <v>0.23863636363636301</v>
      </c>
      <c r="AD361" s="14" t="str">
        <f>VLOOKUP(flu_eth_ep[[#This Row],[trust_code]],trust_lookup[],3,0)</f>
        <v>Hillingdon</v>
      </c>
      <c r="AE361" s="14" t="str">
        <f>VLOOKUP(flu_eth_ep[[#This Row],[trust_code]],trust_lookup[],4,0)</f>
        <v>Acute</v>
      </c>
    </row>
    <row r="362" spans="23:31" x14ac:dyDescent="0.35">
      <c r="W362" s="2" t="s">
        <v>176</v>
      </c>
      <c r="X362" s="2" t="s">
        <v>177</v>
      </c>
      <c r="Y362" s="2" t="s">
        <v>192</v>
      </c>
      <c r="Z362" s="2" t="s">
        <v>88</v>
      </c>
      <c r="AA362" s="23">
        <v>31</v>
      </c>
      <c r="AB362" s="23">
        <v>11</v>
      </c>
      <c r="AC362" s="2">
        <v>0.35483870967741898</v>
      </c>
      <c r="AD362" s="14" t="str">
        <f>VLOOKUP(flu_eth_ep[[#This Row],[trust_code]],trust_lookup[],3,0)</f>
        <v>Hillingdon</v>
      </c>
      <c r="AE362" s="14" t="str">
        <f>VLOOKUP(flu_eth_ep[[#This Row],[trust_code]],trust_lookup[],4,0)</f>
        <v>Acute</v>
      </c>
    </row>
    <row r="363" spans="23:31" x14ac:dyDescent="0.35">
      <c r="W363" s="2" t="s">
        <v>176</v>
      </c>
      <c r="X363" s="2" t="s">
        <v>177</v>
      </c>
      <c r="Y363" s="2" t="s">
        <v>192</v>
      </c>
      <c r="Z363" s="2" t="s">
        <v>75</v>
      </c>
      <c r="AA363" s="23">
        <v>90</v>
      </c>
      <c r="AB363" s="23">
        <v>20</v>
      </c>
      <c r="AC363" s="2">
        <v>0.22222222222222199</v>
      </c>
      <c r="AD363" s="14" t="str">
        <f>VLOOKUP(flu_eth_ep[[#This Row],[trust_code]],trust_lookup[],3,0)</f>
        <v>Hillingdon</v>
      </c>
      <c r="AE363" s="14" t="str">
        <f>VLOOKUP(flu_eth_ep[[#This Row],[trust_code]],trust_lookup[],4,0)</f>
        <v>Acute</v>
      </c>
    </row>
    <row r="364" spans="23:31" x14ac:dyDescent="0.35">
      <c r="W364" s="2" t="s">
        <v>176</v>
      </c>
      <c r="X364" s="2" t="s">
        <v>177</v>
      </c>
      <c r="Y364" s="2" t="s">
        <v>192</v>
      </c>
      <c r="Z364" s="2" t="s">
        <v>36</v>
      </c>
      <c r="AA364" s="23">
        <v>1</v>
      </c>
      <c r="AB364" s="23">
        <v>0</v>
      </c>
      <c r="AC364" s="2">
        <v>0</v>
      </c>
      <c r="AD364" s="14" t="str">
        <f>VLOOKUP(flu_eth_ep[[#This Row],[trust_code]],trust_lookup[],3,0)</f>
        <v>Hillingdon</v>
      </c>
      <c r="AE364" s="14" t="str">
        <f>VLOOKUP(flu_eth_ep[[#This Row],[trust_code]],trust_lookup[],4,0)</f>
        <v>Acute</v>
      </c>
    </row>
    <row r="365" spans="23:31" x14ac:dyDescent="0.35">
      <c r="W365" s="2" t="s">
        <v>187</v>
      </c>
      <c r="X365" s="2" t="s">
        <v>188</v>
      </c>
      <c r="Y365" s="2" t="s">
        <v>192</v>
      </c>
      <c r="Z365" s="2" t="s">
        <v>123</v>
      </c>
      <c r="AA365" s="23">
        <v>409</v>
      </c>
      <c r="AB365" s="23">
        <v>150</v>
      </c>
      <c r="AC365" s="2">
        <v>0.36674816625916801</v>
      </c>
      <c r="AD365" s="14" t="str">
        <f>VLOOKUP(flu_eth_ep[[#This Row],[trust_code]],trust_lookup[],3,0)</f>
        <v>West London</v>
      </c>
      <c r="AE365" s="14" t="str">
        <f>VLOOKUP(flu_eth_ep[[#This Row],[trust_code]],trust_lookup[],4,0)</f>
        <v>Mental Health &amp; Community</v>
      </c>
    </row>
    <row r="366" spans="23:31" x14ac:dyDescent="0.35">
      <c r="W366" s="2" t="s">
        <v>187</v>
      </c>
      <c r="X366" s="2" t="s">
        <v>188</v>
      </c>
      <c r="Y366" s="2" t="s">
        <v>192</v>
      </c>
      <c r="Z366" s="2" t="s">
        <v>61</v>
      </c>
      <c r="AA366" s="23">
        <v>130</v>
      </c>
      <c r="AB366" s="23">
        <v>29</v>
      </c>
      <c r="AC366" s="2">
        <v>0.22307692307692301</v>
      </c>
      <c r="AD366" s="14" t="str">
        <f>VLOOKUP(flu_eth_ep[[#This Row],[trust_code]],trust_lookup[],3,0)</f>
        <v>West London</v>
      </c>
      <c r="AE366" s="14" t="str">
        <f>VLOOKUP(flu_eth_ep[[#This Row],[trust_code]],trust_lookup[],4,0)</f>
        <v>Mental Health &amp; Community</v>
      </c>
    </row>
    <row r="367" spans="23:31" x14ac:dyDescent="0.35">
      <c r="W367" s="2" t="s">
        <v>187</v>
      </c>
      <c r="X367" s="2" t="s">
        <v>188</v>
      </c>
      <c r="Y367" s="2" t="s">
        <v>192</v>
      </c>
      <c r="Z367" s="2" t="s">
        <v>82</v>
      </c>
      <c r="AA367" s="23">
        <v>78</v>
      </c>
      <c r="AB367" s="23">
        <v>19</v>
      </c>
      <c r="AC367" s="2">
        <v>0.243589743589743</v>
      </c>
      <c r="AD367" s="14" t="str">
        <f>VLOOKUP(flu_eth_ep[[#This Row],[trust_code]],trust_lookup[],3,0)</f>
        <v>West London</v>
      </c>
      <c r="AE367" s="14" t="str">
        <f>VLOOKUP(flu_eth_ep[[#This Row],[trust_code]],trust_lookup[],4,0)</f>
        <v>Mental Health &amp; Community</v>
      </c>
    </row>
    <row r="368" spans="23:31" x14ac:dyDescent="0.35">
      <c r="W368" s="2" t="s">
        <v>187</v>
      </c>
      <c r="X368" s="2" t="s">
        <v>188</v>
      </c>
      <c r="Y368" s="2" t="s">
        <v>192</v>
      </c>
      <c r="Z368" s="2" t="s">
        <v>112</v>
      </c>
      <c r="AA368" s="23">
        <v>250</v>
      </c>
      <c r="AB368" s="23">
        <v>84</v>
      </c>
      <c r="AC368" s="2">
        <v>0.33600000000000002</v>
      </c>
      <c r="AD368" s="14" t="str">
        <f>VLOOKUP(flu_eth_ep[[#This Row],[trust_code]],trust_lookup[],3,0)</f>
        <v>West London</v>
      </c>
      <c r="AE368" s="14" t="str">
        <f>VLOOKUP(flu_eth_ep[[#This Row],[trust_code]],trust_lookup[],4,0)</f>
        <v>Mental Health &amp; Community</v>
      </c>
    </row>
    <row r="369" spans="23:31" x14ac:dyDescent="0.35">
      <c r="W369" s="2" t="s">
        <v>187</v>
      </c>
      <c r="X369" s="2" t="s">
        <v>188</v>
      </c>
      <c r="Y369" s="2" t="s">
        <v>192</v>
      </c>
      <c r="Z369" s="2" t="s">
        <v>135</v>
      </c>
      <c r="AA369" s="23">
        <v>47</v>
      </c>
      <c r="AB369" s="23">
        <v>17</v>
      </c>
      <c r="AC369" s="2">
        <v>0.36170212765957399</v>
      </c>
      <c r="AD369" s="14" t="str">
        <f>VLOOKUP(flu_eth_ep[[#This Row],[trust_code]],trust_lookup[],3,0)</f>
        <v>West London</v>
      </c>
      <c r="AE369" s="14" t="str">
        <f>VLOOKUP(flu_eth_ep[[#This Row],[trust_code]],trust_lookup[],4,0)</f>
        <v>Mental Health &amp; Community</v>
      </c>
    </row>
    <row r="370" spans="23:31" x14ac:dyDescent="0.35">
      <c r="W370" s="2" t="s">
        <v>187</v>
      </c>
      <c r="X370" s="2" t="s">
        <v>188</v>
      </c>
      <c r="Y370" s="2" t="s">
        <v>192</v>
      </c>
      <c r="Z370" s="2" t="s">
        <v>29</v>
      </c>
      <c r="AA370" s="23">
        <v>58</v>
      </c>
      <c r="AB370" s="23">
        <v>21</v>
      </c>
      <c r="AC370" s="2">
        <v>0.36206896551724099</v>
      </c>
      <c r="AD370" s="14" t="str">
        <f>VLOOKUP(flu_eth_ep[[#This Row],[trust_code]],trust_lookup[],3,0)</f>
        <v>West London</v>
      </c>
      <c r="AE370" s="14" t="str">
        <f>VLOOKUP(flu_eth_ep[[#This Row],[trust_code]],trust_lookup[],4,0)</f>
        <v>Mental Health &amp; Community</v>
      </c>
    </row>
    <row r="371" spans="23:31" x14ac:dyDescent="0.35">
      <c r="W371" s="2" t="s">
        <v>187</v>
      </c>
      <c r="X371" s="2" t="s">
        <v>188</v>
      </c>
      <c r="Y371" s="2" t="s">
        <v>192</v>
      </c>
      <c r="Z371" s="2" t="s">
        <v>106</v>
      </c>
      <c r="AA371" s="23">
        <v>47</v>
      </c>
      <c r="AB371" s="23">
        <v>15</v>
      </c>
      <c r="AC371" s="2">
        <v>0.31914893617021201</v>
      </c>
      <c r="AD371" s="14" t="str">
        <f>VLOOKUP(flu_eth_ep[[#This Row],[trust_code]],trust_lookup[],3,0)</f>
        <v>West London</v>
      </c>
      <c r="AE371" s="14" t="str">
        <f>VLOOKUP(flu_eth_ep[[#This Row],[trust_code]],trust_lookup[],4,0)</f>
        <v>Mental Health &amp; Community</v>
      </c>
    </row>
    <row r="372" spans="23:31" x14ac:dyDescent="0.35">
      <c r="W372" s="2" t="s">
        <v>187</v>
      </c>
      <c r="X372" s="2" t="s">
        <v>188</v>
      </c>
      <c r="Y372" s="2" t="s">
        <v>192</v>
      </c>
      <c r="Z372" s="2" t="s">
        <v>100</v>
      </c>
      <c r="AA372" s="23">
        <v>785</v>
      </c>
      <c r="AB372" s="23">
        <v>219</v>
      </c>
      <c r="AC372" s="2">
        <v>0.27898089171974499</v>
      </c>
      <c r="AD372" s="14" t="str">
        <f>VLOOKUP(flu_eth_ep[[#This Row],[trust_code]],trust_lookup[],3,0)</f>
        <v>West London</v>
      </c>
      <c r="AE372" s="14" t="str">
        <f>VLOOKUP(flu_eth_ep[[#This Row],[trust_code]],trust_lookup[],4,0)</f>
        <v>Mental Health &amp; Community</v>
      </c>
    </row>
    <row r="373" spans="23:31" x14ac:dyDescent="0.35">
      <c r="W373" s="2" t="s">
        <v>187</v>
      </c>
      <c r="X373" s="2" t="s">
        <v>188</v>
      </c>
      <c r="Y373" s="2" t="s">
        <v>192</v>
      </c>
      <c r="Z373" s="2" t="s">
        <v>129</v>
      </c>
      <c r="AA373" s="23">
        <v>42</v>
      </c>
      <c r="AB373" s="23">
        <v>13</v>
      </c>
      <c r="AC373" s="2">
        <v>0.30952380952380898</v>
      </c>
      <c r="AD373" s="14" t="str">
        <f>VLOOKUP(flu_eth_ep[[#This Row],[trust_code]],trust_lookup[],3,0)</f>
        <v>West London</v>
      </c>
      <c r="AE373" s="14" t="str">
        <f>VLOOKUP(flu_eth_ep[[#This Row],[trust_code]],trust_lookup[],4,0)</f>
        <v>Mental Health &amp; Community</v>
      </c>
    </row>
    <row r="374" spans="23:31" x14ac:dyDescent="0.35">
      <c r="W374" s="2" t="s">
        <v>187</v>
      </c>
      <c r="X374" s="2" t="s">
        <v>188</v>
      </c>
      <c r="Y374" s="2" t="s">
        <v>192</v>
      </c>
      <c r="Z374" s="2" t="s">
        <v>141</v>
      </c>
      <c r="AA374" s="23">
        <v>355</v>
      </c>
      <c r="AB374" s="23">
        <v>128</v>
      </c>
      <c r="AC374" s="2">
        <v>0.36056338028168999</v>
      </c>
      <c r="AD374" s="14" t="str">
        <f>VLOOKUP(flu_eth_ep[[#This Row],[trust_code]],trust_lookup[],3,0)</f>
        <v>West London</v>
      </c>
      <c r="AE374" s="14" t="str">
        <f>VLOOKUP(flu_eth_ep[[#This Row],[trust_code]],trust_lookup[],4,0)</f>
        <v>Mental Health &amp; Community</v>
      </c>
    </row>
    <row r="375" spans="23:31" x14ac:dyDescent="0.35">
      <c r="W375" s="2" t="s">
        <v>187</v>
      </c>
      <c r="X375" s="2" t="s">
        <v>188</v>
      </c>
      <c r="Y375" s="2" t="s">
        <v>192</v>
      </c>
      <c r="Z375" s="2" t="s">
        <v>94</v>
      </c>
      <c r="AA375" s="23">
        <v>29</v>
      </c>
      <c r="AB375" s="23">
        <v>13</v>
      </c>
      <c r="AC375" s="2">
        <v>0.44827586206896503</v>
      </c>
      <c r="AD375" s="14" t="str">
        <f>VLOOKUP(flu_eth_ep[[#This Row],[trust_code]],trust_lookup[],3,0)</f>
        <v>West London</v>
      </c>
      <c r="AE375" s="14" t="str">
        <f>VLOOKUP(flu_eth_ep[[#This Row],[trust_code]],trust_lookup[],4,0)</f>
        <v>Mental Health &amp; Community</v>
      </c>
    </row>
    <row r="376" spans="23:31" x14ac:dyDescent="0.35">
      <c r="W376" s="2" t="s">
        <v>187</v>
      </c>
      <c r="X376" s="2" t="s">
        <v>188</v>
      </c>
      <c r="Y376" s="2" t="s">
        <v>192</v>
      </c>
      <c r="Z376" s="2" t="s">
        <v>47</v>
      </c>
      <c r="AA376" s="23">
        <v>77</v>
      </c>
      <c r="AB376" s="23">
        <v>21</v>
      </c>
      <c r="AC376" s="2">
        <v>0.27272727272727199</v>
      </c>
      <c r="AD376" s="14" t="str">
        <f>VLOOKUP(flu_eth_ep[[#This Row],[trust_code]],trust_lookup[],3,0)</f>
        <v>West London</v>
      </c>
      <c r="AE376" s="14" t="str">
        <f>VLOOKUP(flu_eth_ep[[#This Row],[trust_code]],trust_lookup[],4,0)</f>
        <v>Mental Health &amp; Community</v>
      </c>
    </row>
    <row r="377" spans="23:31" x14ac:dyDescent="0.35">
      <c r="W377" s="2" t="s">
        <v>187</v>
      </c>
      <c r="X377" s="2" t="s">
        <v>188</v>
      </c>
      <c r="Y377" s="2" t="s">
        <v>192</v>
      </c>
      <c r="Z377" s="2" t="s">
        <v>75</v>
      </c>
      <c r="AA377" s="23">
        <v>199</v>
      </c>
      <c r="AB377" s="23">
        <v>43</v>
      </c>
      <c r="AC377" s="2">
        <v>0.21608040201004999</v>
      </c>
      <c r="AD377" s="14" t="str">
        <f>VLOOKUP(flu_eth_ep[[#This Row],[trust_code]],trust_lookup[],3,0)</f>
        <v>West London</v>
      </c>
      <c r="AE377" s="14" t="str">
        <f>VLOOKUP(flu_eth_ep[[#This Row],[trust_code]],trust_lookup[],4,0)</f>
        <v>Mental Health &amp; Community</v>
      </c>
    </row>
    <row r="378" spans="23:31" x14ac:dyDescent="0.35">
      <c r="W378" s="2" t="s">
        <v>187</v>
      </c>
      <c r="X378" s="2" t="s">
        <v>188</v>
      </c>
      <c r="Y378" s="2" t="s">
        <v>192</v>
      </c>
      <c r="Z378" s="2" t="s">
        <v>88</v>
      </c>
      <c r="AA378" s="23">
        <v>62</v>
      </c>
      <c r="AB378" s="23">
        <v>24</v>
      </c>
      <c r="AC378" s="2">
        <v>0.38709677419354799</v>
      </c>
      <c r="AD378" s="14" t="str">
        <f>VLOOKUP(flu_eth_ep[[#This Row],[trust_code]],trust_lookup[],3,0)</f>
        <v>West London</v>
      </c>
      <c r="AE378" s="14" t="str">
        <f>VLOOKUP(flu_eth_ep[[#This Row],[trust_code]],trust_lookup[],4,0)</f>
        <v>Mental Health &amp; Community</v>
      </c>
    </row>
    <row r="379" spans="23:31" x14ac:dyDescent="0.35">
      <c r="W379" s="2" t="s">
        <v>187</v>
      </c>
      <c r="X379" s="2" t="s">
        <v>188</v>
      </c>
      <c r="Y379" s="2" t="s">
        <v>192</v>
      </c>
      <c r="Z379" s="2" t="s">
        <v>54</v>
      </c>
      <c r="AA379" s="23">
        <v>388</v>
      </c>
      <c r="AB379" s="23">
        <v>141</v>
      </c>
      <c r="AC379" s="2">
        <v>0.36340206185566998</v>
      </c>
      <c r="AD379" s="14" t="str">
        <f>VLOOKUP(flu_eth_ep[[#This Row],[trust_code]],trust_lookup[],3,0)</f>
        <v>West London</v>
      </c>
      <c r="AE379" s="14" t="str">
        <f>VLOOKUP(flu_eth_ep[[#This Row],[trust_code]],trust_lookup[],4,0)</f>
        <v>Mental Health &amp; Community</v>
      </c>
    </row>
    <row r="380" spans="23:31" x14ac:dyDescent="0.35">
      <c r="W380" s="2" t="s">
        <v>187</v>
      </c>
      <c r="X380" s="2" t="s">
        <v>188</v>
      </c>
      <c r="Y380" s="2" t="s">
        <v>192</v>
      </c>
      <c r="Z380" s="2" t="s">
        <v>36</v>
      </c>
      <c r="AA380" s="23">
        <v>8</v>
      </c>
      <c r="AB380" s="23">
        <v>0</v>
      </c>
      <c r="AC380" s="2">
        <v>0</v>
      </c>
      <c r="AD380" s="14" t="str">
        <f>VLOOKUP(flu_eth_ep[[#This Row],[trust_code]],trust_lookup[],3,0)</f>
        <v>West London</v>
      </c>
      <c r="AE380" s="14" t="str">
        <f>VLOOKUP(flu_eth_ep[[#This Row],[trust_code]],trust_lookup[],4,0)</f>
        <v>Mental Health &amp; Community</v>
      </c>
    </row>
    <row r="381" spans="23:31" x14ac:dyDescent="0.35">
      <c r="W381" s="2" t="s">
        <v>187</v>
      </c>
      <c r="X381" s="2" t="s">
        <v>188</v>
      </c>
      <c r="Y381" s="2" t="s">
        <v>192</v>
      </c>
      <c r="Z381" s="2" t="s">
        <v>36</v>
      </c>
      <c r="AA381" s="23">
        <v>256</v>
      </c>
      <c r="AB381" s="23">
        <v>73</v>
      </c>
      <c r="AC381" s="2">
        <v>0.28515625</v>
      </c>
      <c r="AD381" s="14" t="str">
        <f>VLOOKUP(flu_eth_ep[[#This Row],[trust_code]],trust_lookup[],3,0)</f>
        <v>West London</v>
      </c>
      <c r="AE381" s="14" t="str">
        <f>VLOOKUP(flu_eth_ep[[#This Row],[trust_code]],trust_lookup[],4,0)</f>
        <v>Mental Health &amp; Community</v>
      </c>
    </row>
    <row r="382" spans="23:31" x14ac:dyDescent="0.35">
      <c r="W382" s="2" t="s">
        <v>187</v>
      </c>
      <c r="X382" s="2" t="s">
        <v>188</v>
      </c>
      <c r="Y382" s="2" t="s">
        <v>192</v>
      </c>
      <c r="Z382" s="2" t="s">
        <v>68</v>
      </c>
      <c r="AA382" s="23">
        <v>1038</v>
      </c>
      <c r="AB382" s="23">
        <v>465</v>
      </c>
      <c r="AC382" s="2">
        <v>0.44797687861271601</v>
      </c>
      <c r="AD382" s="14" t="str">
        <f>VLOOKUP(flu_eth_ep[[#This Row],[trust_code]],trust_lookup[],3,0)</f>
        <v>West London</v>
      </c>
      <c r="AE382" s="14" t="str">
        <f>VLOOKUP(flu_eth_ep[[#This Row],[trust_code]],trust_lookup[],4,0)</f>
        <v>Mental Health &amp; Community</v>
      </c>
    </row>
    <row r="383" spans="23:31" x14ac:dyDescent="0.35">
      <c r="W383" s="2" t="s">
        <v>89</v>
      </c>
      <c r="X383" s="2" t="s">
        <v>90</v>
      </c>
      <c r="Y383" s="2" t="s">
        <v>193</v>
      </c>
      <c r="Z383" s="2" t="s">
        <v>135</v>
      </c>
      <c r="AA383" s="23">
        <v>299</v>
      </c>
      <c r="AB383" s="23">
        <v>175</v>
      </c>
      <c r="AC383" s="2">
        <v>0.58528428093645402</v>
      </c>
      <c r="AD383" s="14" t="str">
        <f>VLOOKUP(flu_eth_ep[[#This Row],[trust_code]],trust_lookup[],3,0)</f>
        <v>GSTT</v>
      </c>
      <c r="AE383" s="14" t="str">
        <f>VLOOKUP(flu_eth_ep[[#This Row],[trust_code]],trust_lookup[],4,0)</f>
        <v>Acute</v>
      </c>
    </row>
    <row r="384" spans="23:31" x14ac:dyDescent="0.35">
      <c r="W384" s="2" t="s">
        <v>89</v>
      </c>
      <c r="X384" s="2" t="s">
        <v>90</v>
      </c>
      <c r="Y384" s="2" t="s">
        <v>193</v>
      </c>
      <c r="Z384" s="2" t="s">
        <v>100</v>
      </c>
      <c r="AA384" s="23">
        <v>2460</v>
      </c>
      <c r="AB384" s="23">
        <v>621</v>
      </c>
      <c r="AC384" s="2">
        <v>0.25243902439024302</v>
      </c>
      <c r="AD384" s="14" t="str">
        <f>VLOOKUP(flu_eth_ep[[#This Row],[trust_code]],trust_lookup[],3,0)</f>
        <v>GSTT</v>
      </c>
      <c r="AE384" s="14" t="str">
        <f>VLOOKUP(flu_eth_ep[[#This Row],[trust_code]],trust_lookup[],4,0)</f>
        <v>Acute</v>
      </c>
    </row>
    <row r="385" spans="23:31" x14ac:dyDescent="0.35">
      <c r="W385" s="2" t="s">
        <v>89</v>
      </c>
      <c r="X385" s="2" t="s">
        <v>90</v>
      </c>
      <c r="Y385" s="2" t="s">
        <v>193</v>
      </c>
      <c r="Z385" s="2" t="s">
        <v>36</v>
      </c>
      <c r="AA385" s="23">
        <v>956</v>
      </c>
      <c r="AB385" s="23">
        <v>353</v>
      </c>
      <c r="AC385" s="2">
        <v>0.36924686192468598</v>
      </c>
      <c r="AD385" s="14" t="str">
        <f>VLOOKUP(flu_eth_ep[[#This Row],[trust_code]],trust_lookup[],3,0)</f>
        <v>GSTT</v>
      </c>
      <c r="AE385" s="14" t="str">
        <f>VLOOKUP(flu_eth_ep[[#This Row],[trust_code]],trust_lookup[],4,0)</f>
        <v>Acute</v>
      </c>
    </row>
    <row r="386" spans="23:31" x14ac:dyDescent="0.35">
      <c r="W386" s="2" t="s">
        <v>89</v>
      </c>
      <c r="X386" s="2" t="s">
        <v>90</v>
      </c>
      <c r="Y386" s="2" t="s">
        <v>193</v>
      </c>
      <c r="Z386" s="2" t="s">
        <v>29</v>
      </c>
      <c r="AA386" s="23">
        <v>241</v>
      </c>
      <c r="AB386" s="23">
        <v>119</v>
      </c>
      <c r="AC386" s="2">
        <v>0.49377593360995797</v>
      </c>
      <c r="AD386" s="14" t="str">
        <f>VLOOKUP(flu_eth_ep[[#This Row],[trust_code]],trust_lookup[],3,0)</f>
        <v>GSTT</v>
      </c>
      <c r="AE386" s="14" t="str">
        <f>VLOOKUP(flu_eth_ep[[#This Row],[trust_code]],trust_lookup[],4,0)</f>
        <v>Acute</v>
      </c>
    </row>
    <row r="387" spans="23:31" x14ac:dyDescent="0.35">
      <c r="W387" s="2" t="s">
        <v>89</v>
      </c>
      <c r="X387" s="2" t="s">
        <v>90</v>
      </c>
      <c r="Y387" s="2" t="s">
        <v>193</v>
      </c>
      <c r="Z387" s="2" t="s">
        <v>112</v>
      </c>
      <c r="AA387" s="23">
        <v>1153</v>
      </c>
      <c r="AB387" s="23">
        <v>469</v>
      </c>
      <c r="AC387" s="2">
        <v>0.40676496097137899</v>
      </c>
      <c r="AD387" s="14" t="str">
        <f>VLOOKUP(flu_eth_ep[[#This Row],[trust_code]],trust_lookup[],3,0)</f>
        <v>GSTT</v>
      </c>
      <c r="AE387" s="14" t="str">
        <f>VLOOKUP(flu_eth_ep[[#This Row],[trust_code]],trust_lookup[],4,0)</f>
        <v>Acute</v>
      </c>
    </row>
    <row r="388" spans="23:31" x14ac:dyDescent="0.35">
      <c r="W388" s="2" t="s">
        <v>89</v>
      </c>
      <c r="X388" s="2" t="s">
        <v>90</v>
      </c>
      <c r="Y388" s="2" t="s">
        <v>193</v>
      </c>
      <c r="Z388" s="2" t="s">
        <v>82</v>
      </c>
      <c r="AA388" s="23">
        <v>278</v>
      </c>
      <c r="AB388" s="23">
        <v>88</v>
      </c>
      <c r="AC388" s="2">
        <v>0.31654676258992798</v>
      </c>
      <c r="AD388" s="14" t="str">
        <f>VLOOKUP(flu_eth_ep[[#This Row],[trust_code]],trust_lookup[],3,0)</f>
        <v>GSTT</v>
      </c>
      <c r="AE388" s="14" t="str">
        <f>VLOOKUP(flu_eth_ep[[#This Row],[trust_code]],trust_lookup[],4,0)</f>
        <v>Acute</v>
      </c>
    </row>
    <row r="389" spans="23:31" x14ac:dyDescent="0.35">
      <c r="W389" s="2" t="s">
        <v>89</v>
      </c>
      <c r="X389" s="2" t="s">
        <v>90</v>
      </c>
      <c r="Y389" s="2" t="s">
        <v>193</v>
      </c>
      <c r="Z389" s="2" t="s">
        <v>129</v>
      </c>
      <c r="AA389" s="23">
        <v>104</v>
      </c>
      <c r="AB389" s="23">
        <v>29</v>
      </c>
      <c r="AC389" s="2">
        <v>0.27884615384615302</v>
      </c>
      <c r="AD389" s="14" t="str">
        <f>VLOOKUP(flu_eth_ep[[#This Row],[trust_code]],trust_lookup[],3,0)</f>
        <v>GSTT</v>
      </c>
      <c r="AE389" s="14" t="str">
        <f>VLOOKUP(flu_eth_ep[[#This Row],[trust_code]],trust_lookup[],4,0)</f>
        <v>Acute</v>
      </c>
    </row>
    <row r="390" spans="23:31" x14ac:dyDescent="0.35">
      <c r="W390" s="2" t="s">
        <v>89</v>
      </c>
      <c r="X390" s="2" t="s">
        <v>90</v>
      </c>
      <c r="Y390" s="2" t="s">
        <v>193</v>
      </c>
      <c r="Z390" s="2" t="s">
        <v>36</v>
      </c>
      <c r="AA390" s="23">
        <v>29</v>
      </c>
      <c r="AB390" s="23">
        <v>6</v>
      </c>
      <c r="AC390" s="2">
        <v>0.20689655172413701</v>
      </c>
      <c r="AD390" s="14" t="str">
        <f>VLOOKUP(flu_eth_ep[[#This Row],[trust_code]],trust_lookup[],3,0)</f>
        <v>GSTT</v>
      </c>
      <c r="AE390" s="14" t="str">
        <f>VLOOKUP(flu_eth_ep[[#This Row],[trust_code]],trust_lookup[],4,0)</f>
        <v>Acute</v>
      </c>
    </row>
    <row r="391" spans="23:31" x14ac:dyDescent="0.35">
      <c r="W391" s="2" t="s">
        <v>89</v>
      </c>
      <c r="X391" s="2" t="s">
        <v>90</v>
      </c>
      <c r="Y391" s="2" t="s">
        <v>193</v>
      </c>
      <c r="Z391" s="2" t="s">
        <v>141</v>
      </c>
      <c r="AA391" s="23">
        <v>1493</v>
      </c>
      <c r="AB391" s="23">
        <v>654</v>
      </c>
      <c r="AC391" s="2">
        <v>0.43804420629604801</v>
      </c>
      <c r="AD391" s="14" t="str">
        <f>VLOOKUP(flu_eth_ep[[#This Row],[trust_code]],trust_lookup[],3,0)</f>
        <v>GSTT</v>
      </c>
      <c r="AE391" s="14" t="str">
        <f>VLOOKUP(flu_eth_ep[[#This Row],[trust_code]],trust_lookup[],4,0)</f>
        <v>Acute</v>
      </c>
    </row>
    <row r="392" spans="23:31" x14ac:dyDescent="0.35">
      <c r="W392" s="2" t="s">
        <v>89</v>
      </c>
      <c r="X392" s="2" t="s">
        <v>90</v>
      </c>
      <c r="Y392" s="2" t="s">
        <v>193</v>
      </c>
      <c r="Z392" s="2" t="s">
        <v>94</v>
      </c>
      <c r="AA392" s="23">
        <v>117</v>
      </c>
      <c r="AB392" s="23">
        <v>66</v>
      </c>
      <c r="AC392" s="2">
        <v>0.56410256410256399</v>
      </c>
      <c r="AD392" s="14" t="str">
        <f>VLOOKUP(flu_eth_ep[[#This Row],[trust_code]],trust_lookup[],3,0)</f>
        <v>GSTT</v>
      </c>
      <c r="AE392" s="14" t="str">
        <f>VLOOKUP(flu_eth_ep[[#This Row],[trust_code]],trust_lookup[],4,0)</f>
        <v>Acute</v>
      </c>
    </row>
    <row r="393" spans="23:31" x14ac:dyDescent="0.35">
      <c r="W393" s="2" t="s">
        <v>89</v>
      </c>
      <c r="X393" s="2" t="s">
        <v>90</v>
      </c>
      <c r="Y393" s="2" t="s">
        <v>193</v>
      </c>
      <c r="Z393" s="2" t="s">
        <v>47</v>
      </c>
      <c r="AA393" s="23">
        <v>179</v>
      </c>
      <c r="AB393" s="23">
        <v>50</v>
      </c>
      <c r="AC393" s="2">
        <v>0.27932960893854702</v>
      </c>
      <c r="AD393" s="14" t="str">
        <f>VLOOKUP(flu_eth_ep[[#This Row],[trust_code]],trust_lookup[],3,0)</f>
        <v>GSTT</v>
      </c>
      <c r="AE393" s="14" t="str">
        <f>VLOOKUP(flu_eth_ep[[#This Row],[trust_code]],trust_lookup[],4,0)</f>
        <v>Acute</v>
      </c>
    </row>
    <row r="394" spans="23:31" x14ac:dyDescent="0.35">
      <c r="W394" s="2" t="s">
        <v>89</v>
      </c>
      <c r="X394" s="2" t="s">
        <v>90</v>
      </c>
      <c r="Y394" s="2" t="s">
        <v>193</v>
      </c>
      <c r="Z394" s="2" t="s">
        <v>88</v>
      </c>
      <c r="AA394" s="23">
        <v>243</v>
      </c>
      <c r="AB394" s="23">
        <v>66</v>
      </c>
      <c r="AC394" s="2">
        <v>0.27160493827160398</v>
      </c>
      <c r="AD394" s="14" t="str">
        <f>VLOOKUP(flu_eth_ep[[#This Row],[trust_code]],trust_lookup[],3,0)</f>
        <v>GSTT</v>
      </c>
      <c r="AE394" s="14" t="str">
        <f>VLOOKUP(flu_eth_ep[[#This Row],[trust_code]],trust_lookup[],4,0)</f>
        <v>Acute</v>
      </c>
    </row>
    <row r="395" spans="23:31" x14ac:dyDescent="0.35">
      <c r="W395" s="2" t="s">
        <v>89</v>
      </c>
      <c r="X395" s="2" t="s">
        <v>90</v>
      </c>
      <c r="Y395" s="2" t="s">
        <v>193</v>
      </c>
      <c r="Z395" s="2" t="s">
        <v>54</v>
      </c>
      <c r="AA395" s="23">
        <v>2001</v>
      </c>
      <c r="AB395" s="23">
        <v>903</v>
      </c>
      <c r="AC395" s="2">
        <v>0.45127436281859001</v>
      </c>
      <c r="AD395" s="14" t="str">
        <f>VLOOKUP(flu_eth_ep[[#This Row],[trust_code]],trust_lookup[],3,0)</f>
        <v>GSTT</v>
      </c>
      <c r="AE395" s="14" t="str">
        <f>VLOOKUP(flu_eth_ep[[#This Row],[trust_code]],trust_lookup[],4,0)</f>
        <v>Acute</v>
      </c>
    </row>
    <row r="396" spans="23:31" x14ac:dyDescent="0.35">
      <c r="W396" s="2" t="s">
        <v>89</v>
      </c>
      <c r="X396" s="2" t="s">
        <v>90</v>
      </c>
      <c r="Y396" s="2" t="s">
        <v>193</v>
      </c>
      <c r="Z396" s="2" t="s">
        <v>75</v>
      </c>
      <c r="AA396" s="23">
        <v>628</v>
      </c>
      <c r="AB396" s="23">
        <v>140</v>
      </c>
      <c r="AC396" s="2">
        <v>0.22292993630573199</v>
      </c>
      <c r="AD396" s="14" t="str">
        <f>VLOOKUP(flu_eth_ep[[#This Row],[trust_code]],trust_lookup[],3,0)</f>
        <v>GSTT</v>
      </c>
      <c r="AE396" s="14" t="str">
        <f>VLOOKUP(flu_eth_ep[[#This Row],[trust_code]],trust_lookup[],4,0)</f>
        <v>Acute</v>
      </c>
    </row>
    <row r="397" spans="23:31" x14ac:dyDescent="0.35">
      <c r="W397" s="2" t="s">
        <v>89</v>
      </c>
      <c r="X397" s="2" t="s">
        <v>90</v>
      </c>
      <c r="Y397" s="2" t="s">
        <v>193</v>
      </c>
      <c r="Z397" s="2" t="s">
        <v>106</v>
      </c>
      <c r="AA397" s="23">
        <v>309</v>
      </c>
      <c r="AB397" s="23">
        <v>177</v>
      </c>
      <c r="AC397" s="2">
        <v>0.57281553398058205</v>
      </c>
      <c r="AD397" s="14" t="str">
        <f>VLOOKUP(flu_eth_ep[[#This Row],[trust_code]],trust_lookup[],3,0)</f>
        <v>GSTT</v>
      </c>
      <c r="AE397" s="14" t="str">
        <f>VLOOKUP(flu_eth_ep[[#This Row],[trust_code]],trust_lookup[],4,0)</f>
        <v>Acute</v>
      </c>
    </row>
    <row r="398" spans="23:31" x14ac:dyDescent="0.35">
      <c r="W398" s="2" t="s">
        <v>89</v>
      </c>
      <c r="X398" s="2" t="s">
        <v>90</v>
      </c>
      <c r="Y398" s="2" t="s">
        <v>193</v>
      </c>
      <c r="Z398" s="2" t="s">
        <v>61</v>
      </c>
      <c r="AA398" s="23">
        <v>560</v>
      </c>
      <c r="AB398" s="23">
        <v>115</v>
      </c>
      <c r="AC398" s="2">
        <v>0.20535714285714199</v>
      </c>
      <c r="AD398" s="14" t="str">
        <f>VLOOKUP(flu_eth_ep[[#This Row],[trust_code]],trust_lookup[],3,0)</f>
        <v>GSTT</v>
      </c>
      <c r="AE398" s="14" t="str">
        <f>VLOOKUP(flu_eth_ep[[#This Row],[trust_code]],trust_lookup[],4,0)</f>
        <v>Acute</v>
      </c>
    </row>
    <row r="399" spans="23:31" x14ac:dyDescent="0.35">
      <c r="W399" s="2" t="s">
        <v>89</v>
      </c>
      <c r="X399" s="2" t="s">
        <v>90</v>
      </c>
      <c r="Y399" s="2" t="s">
        <v>193</v>
      </c>
      <c r="Z399" s="2" t="s">
        <v>68</v>
      </c>
      <c r="AA399" s="23">
        <v>4952</v>
      </c>
      <c r="AB399" s="23">
        <v>2982</v>
      </c>
      <c r="AC399" s="2">
        <v>0.60218093699515296</v>
      </c>
      <c r="AD399" s="14" t="str">
        <f>VLOOKUP(flu_eth_ep[[#This Row],[trust_code]],trust_lookup[],3,0)</f>
        <v>GSTT</v>
      </c>
      <c r="AE399" s="14" t="str">
        <f>VLOOKUP(flu_eth_ep[[#This Row],[trust_code]],trust_lookup[],4,0)</f>
        <v>Acute</v>
      </c>
    </row>
    <row r="400" spans="23:31" x14ac:dyDescent="0.35">
      <c r="W400" s="2" t="s">
        <v>89</v>
      </c>
      <c r="X400" s="2" t="s">
        <v>90</v>
      </c>
      <c r="Y400" s="2" t="s">
        <v>193</v>
      </c>
      <c r="Z400" s="2" t="s">
        <v>123</v>
      </c>
      <c r="AA400" s="23">
        <v>1098</v>
      </c>
      <c r="AB400" s="23">
        <v>474</v>
      </c>
      <c r="AC400" s="2">
        <v>0.43169398907103801</v>
      </c>
      <c r="AD400" s="14" t="str">
        <f>VLOOKUP(flu_eth_ep[[#This Row],[trust_code]],trust_lookup[],3,0)</f>
        <v>GSTT</v>
      </c>
      <c r="AE400" s="14" t="str">
        <f>VLOOKUP(flu_eth_ep[[#This Row],[trust_code]],trust_lookup[],4,0)</f>
        <v>Acute</v>
      </c>
    </row>
    <row r="401" spans="23:31" x14ac:dyDescent="0.35">
      <c r="W401" s="2" t="s">
        <v>107</v>
      </c>
      <c r="X401" s="2" t="s">
        <v>108</v>
      </c>
      <c r="Y401" s="2" t="s">
        <v>193</v>
      </c>
      <c r="Z401" s="2" t="s">
        <v>135</v>
      </c>
      <c r="AA401" s="23">
        <v>153</v>
      </c>
      <c r="AB401" s="23">
        <v>86</v>
      </c>
      <c r="AC401" s="2">
        <v>0.56209150326797297</v>
      </c>
      <c r="AD401" s="14" t="str">
        <f>VLOOKUP(flu_eth_ep[[#This Row],[trust_code]],trust_lookup[],3,0)</f>
        <v>King's</v>
      </c>
      <c r="AE401" s="14" t="str">
        <f>VLOOKUP(flu_eth_ep[[#This Row],[trust_code]],trust_lookup[],4,0)</f>
        <v>Acute</v>
      </c>
    </row>
    <row r="402" spans="23:31" x14ac:dyDescent="0.35">
      <c r="W402" s="2" t="s">
        <v>107</v>
      </c>
      <c r="X402" s="2" t="s">
        <v>108</v>
      </c>
      <c r="Y402" s="2" t="s">
        <v>193</v>
      </c>
      <c r="Z402" s="2" t="s">
        <v>47</v>
      </c>
      <c r="AA402" s="23">
        <v>126</v>
      </c>
      <c r="AB402" s="23">
        <v>52</v>
      </c>
      <c r="AC402" s="2">
        <v>0.41269841269841201</v>
      </c>
      <c r="AD402" s="14" t="str">
        <f>VLOOKUP(flu_eth_ep[[#This Row],[trust_code]],trust_lookup[],3,0)</f>
        <v>King's</v>
      </c>
      <c r="AE402" s="14" t="str">
        <f>VLOOKUP(flu_eth_ep[[#This Row],[trust_code]],trust_lookup[],4,0)</f>
        <v>Acute</v>
      </c>
    </row>
    <row r="403" spans="23:31" x14ac:dyDescent="0.35">
      <c r="W403" s="2" t="s">
        <v>107</v>
      </c>
      <c r="X403" s="2" t="s">
        <v>108</v>
      </c>
      <c r="Y403" s="2" t="s">
        <v>193</v>
      </c>
      <c r="Z403" s="2" t="s">
        <v>94</v>
      </c>
      <c r="AA403" s="23">
        <v>77</v>
      </c>
      <c r="AB403" s="23">
        <v>35</v>
      </c>
      <c r="AC403" s="2">
        <v>0.45454545454545398</v>
      </c>
      <c r="AD403" s="14" t="str">
        <f>VLOOKUP(flu_eth_ep[[#This Row],[trust_code]],trust_lookup[],3,0)</f>
        <v>King's</v>
      </c>
      <c r="AE403" s="14" t="str">
        <f>VLOOKUP(flu_eth_ep[[#This Row],[trust_code]],trust_lookup[],4,0)</f>
        <v>Acute</v>
      </c>
    </row>
    <row r="404" spans="23:31" x14ac:dyDescent="0.35">
      <c r="W404" s="2" t="s">
        <v>107</v>
      </c>
      <c r="X404" s="2" t="s">
        <v>108</v>
      </c>
      <c r="Y404" s="2" t="s">
        <v>193</v>
      </c>
      <c r="Z404" s="2" t="s">
        <v>88</v>
      </c>
      <c r="AA404" s="23">
        <v>86</v>
      </c>
      <c r="AB404" s="23">
        <v>34</v>
      </c>
      <c r="AC404" s="2">
        <v>0.39534883720930197</v>
      </c>
      <c r="AD404" s="14" t="str">
        <f>VLOOKUP(flu_eth_ep[[#This Row],[trust_code]],trust_lookup[],3,0)</f>
        <v>King's</v>
      </c>
      <c r="AE404" s="14" t="str">
        <f>VLOOKUP(flu_eth_ep[[#This Row],[trust_code]],trust_lookup[],4,0)</f>
        <v>Acute</v>
      </c>
    </row>
    <row r="405" spans="23:31" x14ac:dyDescent="0.35">
      <c r="W405" s="2" t="s">
        <v>107</v>
      </c>
      <c r="X405" s="2" t="s">
        <v>108</v>
      </c>
      <c r="Y405" s="2" t="s">
        <v>193</v>
      </c>
      <c r="Z405" s="2" t="s">
        <v>129</v>
      </c>
      <c r="AA405" s="23">
        <v>81</v>
      </c>
      <c r="AB405" s="23">
        <v>20</v>
      </c>
      <c r="AC405" s="2">
        <v>0.24691358024691301</v>
      </c>
      <c r="AD405" s="14" t="str">
        <f>VLOOKUP(flu_eth_ep[[#This Row],[trust_code]],trust_lookup[],3,0)</f>
        <v>King's</v>
      </c>
      <c r="AE405" s="14" t="str">
        <f>VLOOKUP(flu_eth_ep[[#This Row],[trust_code]],trust_lookup[],4,0)</f>
        <v>Acute</v>
      </c>
    </row>
    <row r="406" spans="23:31" x14ac:dyDescent="0.35">
      <c r="W406" s="2" t="s">
        <v>107</v>
      </c>
      <c r="X406" s="2" t="s">
        <v>108</v>
      </c>
      <c r="Y406" s="2" t="s">
        <v>193</v>
      </c>
      <c r="Z406" s="2" t="s">
        <v>54</v>
      </c>
      <c r="AA406" s="23">
        <v>799</v>
      </c>
      <c r="AB406" s="23">
        <v>379</v>
      </c>
      <c r="AC406" s="2">
        <v>0.474342928660826</v>
      </c>
      <c r="AD406" s="14" t="str">
        <f>VLOOKUP(flu_eth_ep[[#This Row],[trust_code]],trust_lookup[],3,0)</f>
        <v>King's</v>
      </c>
      <c r="AE406" s="14" t="str">
        <f>VLOOKUP(flu_eth_ep[[#This Row],[trust_code]],trust_lookup[],4,0)</f>
        <v>Acute</v>
      </c>
    </row>
    <row r="407" spans="23:31" x14ac:dyDescent="0.35">
      <c r="W407" s="2" t="s">
        <v>107</v>
      </c>
      <c r="X407" s="2" t="s">
        <v>108</v>
      </c>
      <c r="Y407" s="2" t="s">
        <v>193</v>
      </c>
      <c r="Z407" s="2" t="s">
        <v>61</v>
      </c>
      <c r="AA407" s="23">
        <v>330</v>
      </c>
      <c r="AB407" s="23">
        <v>74</v>
      </c>
      <c r="AC407" s="2">
        <v>0.22424242424242399</v>
      </c>
      <c r="AD407" s="14" t="str">
        <f>VLOOKUP(flu_eth_ep[[#This Row],[trust_code]],trust_lookup[],3,0)</f>
        <v>King's</v>
      </c>
      <c r="AE407" s="14" t="str">
        <f>VLOOKUP(flu_eth_ep[[#This Row],[trust_code]],trust_lookup[],4,0)</f>
        <v>Acute</v>
      </c>
    </row>
    <row r="408" spans="23:31" x14ac:dyDescent="0.35">
      <c r="W408" s="2" t="s">
        <v>107</v>
      </c>
      <c r="X408" s="2" t="s">
        <v>108</v>
      </c>
      <c r="Y408" s="2" t="s">
        <v>193</v>
      </c>
      <c r="Z408" s="2" t="s">
        <v>29</v>
      </c>
      <c r="AA408" s="23">
        <v>167</v>
      </c>
      <c r="AB408" s="23">
        <v>83</v>
      </c>
      <c r="AC408" s="2">
        <v>0.49700598802395202</v>
      </c>
      <c r="AD408" s="14" t="str">
        <f>VLOOKUP(flu_eth_ep[[#This Row],[trust_code]],trust_lookup[],3,0)</f>
        <v>King's</v>
      </c>
      <c r="AE408" s="14" t="str">
        <f>VLOOKUP(flu_eth_ep[[#This Row],[trust_code]],trust_lookup[],4,0)</f>
        <v>Acute</v>
      </c>
    </row>
    <row r="409" spans="23:31" x14ac:dyDescent="0.35">
      <c r="W409" s="2" t="s">
        <v>107</v>
      </c>
      <c r="X409" s="2" t="s">
        <v>108</v>
      </c>
      <c r="Y409" s="2" t="s">
        <v>193</v>
      </c>
      <c r="Z409" s="2" t="s">
        <v>36</v>
      </c>
      <c r="AA409" s="23">
        <v>32</v>
      </c>
      <c r="AB409" s="23">
        <v>9</v>
      </c>
      <c r="AC409" s="2">
        <v>0.28125</v>
      </c>
      <c r="AD409" s="14" t="str">
        <f>VLOOKUP(flu_eth_ep[[#This Row],[trust_code]],trust_lookup[],3,0)</f>
        <v>King's</v>
      </c>
      <c r="AE409" s="14" t="str">
        <f>VLOOKUP(flu_eth_ep[[#This Row],[trust_code]],trust_lookup[],4,0)</f>
        <v>Acute</v>
      </c>
    </row>
    <row r="410" spans="23:31" x14ac:dyDescent="0.35">
      <c r="W410" s="2" t="s">
        <v>107</v>
      </c>
      <c r="X410" s="2" t="s">
        <v>108</v>
      </c>
      <c r="Y410" s="2" t="s">
        <v>193</v>
      </c>
      <c r="Z410" s="2" t="s">
        <v>68</v>
      </c>
      <c r="AA410" s="23">
        <v>2420</v>
      </c>
      <c r="AB410" s="23">
        <v>1453</v>
      </c>
      <c r="AC410" s="2">
        <v>0.60041322314049494</v>
      </c>
      <c r="AD410" s="14" t="str">
        <f>VLOOKUP(flu_eth_ep[[#This Row],[trust_code]],trust_lookup[],3,0)</f>
        <v>King's</v>
      </c>
      <c r="AE410" s="14" t="str">
        <f>VLOOKUP(flu_eth_ep[[#This Row],[trust_code]],trust_lookup[],4,0)</f>
        <v>Acute</v>
      </c>
    </row>
    <row r="411" spans="23:31" x14ac:dyDescent="0.35">
      <c r="W411" s="2" t="s">
        <v>107</v>
      </c>
      <c r="X411" s="2" t="s">
        <v>108</v>
      </c>
      <c r="Y411" s="2" t="s">
        <v>193</v>
      </c>
      <c r="Z411" s="2" t="s">
        <v>123</v>
      </c>
      <c r="AA411" s="23">
        <v>769</v>
      </c>
      <c r="AB411" s="23">
        <v>353</v>
      </c>
      <c r="AC411" s="2">
        <v>0.45903771131339399</v>
      </c>
      <c r="AD411" s="14" t="str">
        <f>VLOOKUP(flu_eth_ep[[#This Row],[trust_code]],trust_lookup[],3,0)</f>
        <v>King's</v>
      </c>
      <c r="AE411" s="14" t="str">
        <f>VLOOKUP(flu_eth_ep[[#This Row],[trust_code]],trust_lookup[],4,0)</f>
        <v>Acute</v>
      </c>
    </row>
    <row r="412" spans="23:31" x14ac:dyDescent="0.35">
      <c r="W412" s="2" t="s">
        <v>107</v>
      </c>
      <c r="X412" s="2" t="s">
        <v>108</v>
      </c>
      <c r="Y412" s="2" t="s">
        <v>193</v>
      </c>
      <c r="Z412" s="2" t="s">
        <v>36</v>
      </c>
      <c r="AA412" s="23">
        <v>621</v>
      </c>
      <c r="AB412" s="23">
        <v>290</v>
      </c>
      <c r="AC412" s="2">
        <v>0.46698872785829298</v>
      </c>
      <c r="AD412" s="14" t="str">
        <f>VLOOKUP(flu_eth_ep[[#This Row],[trust_code]],trust_lookup[],3,0)</f>
        <v>King's</v>
      </c>
      <c r="AE412" s="14" t="str">
        <f>VLOOKUP(flu_eth_ep[[#This Row],[trust_code]],trust_lookup[],4,0)</f>
        <v>Acute</v>
      </c>
    </row>
    <row r="413" spans="23:31" x14ac:dyDescent="0.35">
      <c r="W413" s="2" t="s">
        <v>107</v>
      </c>
      <c r="X413" s="2" t="s">
        <v>108</v>
      </c>
      <c r="Y413" s="2" t="s">
        <v>193</v>
      </c>
      <c r="Z413" s="2" t="s">
        <v>82</v>
      </c>
      <c r="AA413" s="23">
        <v>155</v>
      </c>
      <c r="AB413" s="23">
        <v>64</v>
      </c>
      <c r="AC413" s="2">
        <v>0.412903225806451</v>
      </c>
      <c r="AD413" s="14" t="str">
        <f>VLOOKUP(flu_eth_ep[[#This Row],[trust_code]],trust_lookup[],3,0)</f>
        <v>King's</v>
      </c>
      <c r="AE413" s="14" t="str">
        <f>VLOOKUP(flu_eth_ep[[#This Row],[trust_code]],trust_lookup[],4,0)</f>
        <v>Acute</v>
      </c>
    </row>
    <row r="414" spans="23:31" x14ac:dyDescent="0.35">
      <c r="W414" s="2" t="s">
        <v>107</v>
      </c>
      <c r="X414" s="2" t="s">
        <v>108</v>
      </c>
      <c r="Y414" s="2" t="s">
        <v>193</v>
      </c>
      <c r="Z414" s="2" t="s">
        <v>106</v>
      </c>
      <c r="AA414" s="23">
        <v>125</v>
      </c>
      <c r="AB414" s="23">
        <v>78</v>
      </c>
      <c r="AC414" s="2">
        <v>0.624</v>
      </c>
      <c r="AD414" s="14" t="str">
        <f>VLOOKUP(flu_eth_ep[[#This Row],[trust_code]],trust_lookup[],3,0)</f>
        <v>King's</v>
      </c>
      <c r="AE414" s="14" t="str">
        <f>VLOOKUP(flu_eth_ep[[#This Row],[trust_code]],trust_lookup[],4,0)</f>
        <v>Acute</v>
      </c>
    </row>
    <row r="415" spans="23:31" x14ac:dyDescent="0.35">
      <c r="W415" s="2" t="s">
        <v>107</v>
      </c>
      <c r="X415" s="2" t="s">
        <v>108</v>
      </c>
      <c r="Y415" s="2" t="s">
        <v>193</v>
      </c>
      <c r="Z415" s="2" t="s">
        <v>75</v>
      </c>
      <c r="AA415" s="23">
        <v>364</v>
      </c>
      <c r="AB415" s="23">
        <v>101</v>
      </c>
      <c r="AC415" s="2">
        <v>0.27747252747252699</v>
      </c>
      <c r="AD415" s="14" t="str">
        <f>VLOOKUP(flu_eth_ep[[#This Row],[trust_code]],trust_lookup[],3,0)</f>
        <v>King's</v>
      </c>
      <c r="AE415" s="14" t="str">
        <f>VLOOKUP(flu_eth_ep[[#This Row],[trust_code]],trust_lookup[],4,0)</f>
        <v>Acute</v>
      </c>
    </row>
    <row r="416" spans="23:31" x14ac:dyDescent="0.35">
      <c r="W416" s="2" t="s">
        <v>107</v>
      </c>
      <c r="X416" s="2" t="s">
        <v>108</v>
      </c>
      <c r="Y416" s="2" t="s">
        <v>193</v>
      </c>
      <c r="Z416" s="2" t="s">
        <v>100</v>
      </c>
      <c r="AA416" s="23">
        <v>1462</v>
      </c>
      <c r="AB416" s="23">
        <v>430</v>
      </c>
      <c r="AC416" s="2">
        <v>0.29411764705882298</v>
      </c>
      <c r="AD416" s="14" t="str">
        <f>VLOOKUP(flu_eth_ep[[#This Row],[trust_code]],trust_lookup[],3,0)</f>
        <v>King's</v>
      </c>
      <c r="AE416" s="14" t="str">
        <f>VLOOKUP(flu_eth_ep[[#This Row],[trust_code]],trust_lookup[],4,0)</f>
        <v>Acute</v>
      </c>
    </row>
    <row r="417" spans="23:31" x14ac:dyDescent="0.35">
      <c r="W417" s="2" t="s">
        <v>107</v>
      </c>
      <c r="X417" s="2" t="s">
        <v>108</v>
      </c>
      <c r="Y417" s="2" t="s">
        <v>193</v>
      </c>
      <c r="Z417" s="2" t="s">
        <v>141</v>
      </c>
      <c r="AA417" s="23">
        <v>1102</v>
      </c>
      <c r="AB417" s="23">
        <v>556</v>
      </c>
      <c r="AC417" s="2">
        <v>0.50453720508166899</v>
      </c>
      <c r="AD417" s="14" t="str">
        <f>VLOOKUP(flu_eth_ep[[#This Row],[trust_code]],trust_lookup[],3,0)</f>
        <v>King's</v>
      </c>
      <c r="AE417" s="14" t="str">
        <f>VLOOKUP(flu_eth_ep[[#This Row],[trust_code]],trust_lookup[],4,0)</f>
        <v>Acute</v>
      </c>
    </row>
    <row r="418" spans="23:31" x14ac:dyDescent="0.35">
      <c r="W418" s="2" t="s">
        <v>107</v>
      </c>
      <c r="X418" s="2" t="s">
        <v>108</v>
      </c>
      <c r="Y418" s="2" t="s">
        <v>193</v>
      </c>
      <c r="Z418" s="2" t="s">
        <v>112</v>
      </c>
      <c r="AA418" s="23">
        <v>668</v>
      </c>
      <c r="AB418" s="23">
        <v>323</v>
      </c>
      <c r="AC418" s="2">
        <v>0.48353293413173598</v>
      </c>
      <c r="AD418" s="14" t="str">
        <f>VLOOKUP(flu_eth_ep[[#This Row],[trust_code]],trust_lookup[],3,0)</f>
        <v>King's</v>
      </c>
      <c r="AE418" s="14" t="str">
        <f>VLOOKUP(flu_eth_ep[[#This Row],[trust_code]],trust_lookup[],4,0)</f>
        <v>Acute</v>
      </c>
    </row>
    <row r="419" spans="23:31" x14ac:dyDescent="0.35">
      <c r="W419" s="2" t="s">
        <v>118</v>
      </c>
      <c r="X419" s="2" t="s">
        <v>119</v>
      </c>
      <c r="Y419" s="2" t="s">
        <v>193</v>
      </c>
      <c r="Z419" s="2" t="s">
        <v>141</v>
      </c>
      <c r="AA419" s="23">
        <v>614</v>
      </c>
      <c r="AB419" s="23">
        <v>249</v>
      </c>
      <c r="AC419" s="2">
        <v>0.40553745928338703</v>
      </c>
      <c r="AD419" s="14" t="str">
        <f>VLOOKUP(flu_eth_ep[[#This Row],[trust_code]],trust_lookup[],3,0)</f>
        <v>L&amp;G</v>
      </c>
      <c r="AE419" s="14" t="str">
        <f>VLOOKUP(flu_eth_ep[[#This Row],[trust_code]],trust_lookup[],4,0)</f>
        <v>Acute</v>
      </c>
    </row>
    <row r="420" spans="23:31" x14ac:dyDescent="0.35">
      <c r="W420" s="2" t="s">
        <v>118</v>
      </c>
      <c r="X420" s="2" t="s">
        <v>119</v>
      </c>
      <c r="Y420" s="2" t="s">
        <v>193</v>
      </c>
      <c r="Z420" s="2" t="s">
        <v>36</v>
      </c>
      <c r="AA420" s="23">
        <v>9</v>
      </c>
      <c r="AB420" s="23">
        <v>1</v>
      </c>
      <c r="AC420" s="2">
        <v>0.11111111111111099</v>
      </c>
      <c r="AD420" s="14" t="str">
        <f>VLOOKUP(flu_eth_ep[[#This Row],[trust_code]],trust_lookup[],3,0)</f>
        <v>L&amp;G</v>
      </c>
      <c r="AE420" s="14" t="str">
        <f>VLOOKUP(flu_eth_ep[[#This Row],[trust_code]],trust_lookup[],4,0)</f>
        <v>Acute</v>
      </c>
    </row>
    <row r="421" spans="23:31" x14ac:dyDescent="0.35">
      <c r="W421" s="2" t="s">
        <v>118</v>
      </c>
      <c r="X421" s="2" t="s">
        <v>119</v>
      </c>
      <c r="Y421" s="2" t="s">
        <v>193</v>
      </c>
      <c r="Z421" s="2" t="s">
        <v>88</v>
      </c>
      <c r="AA421" s="23">
        <v>67</v>
      </c>
      <c r="AB421" s="23">
        <v>20</v>
      </c>
      <c r="AC421" s="2">
        <v>0.29850746268656703</v>
      </c>
      <c r="AD421" s="14" t="str">
        <f>VLOOKUP(flu_eth_ep[[#This Row],[trust_code]],trust_lookup[],3,0)</f>
        <v>L&amp;G</v>
      </c>
      <c r="AE421" s="14" t="str">
        <f>VLOOKUP(flu_eth_ep[[#This Row],[trust_code]],trust_lookup[],4,0)</f>
        <v>Acute</v>
      </c>
    </row>
    <row r="422" spans="23:31" x14ac:dyDescent="0.35">
      <c r="W422" s="2" t="s">
        <v>118</v>
      </c>
      <c r="X422" s="2" t="s">
        <v>119</v>
      </c>
      <c r="Y422" s="2" t="s">
        <v>193</v>
      </c>
      <c r="Z422" s="2" t="s">
        <v>94</v>
      </c>
      <c r="AA422" s="23">
        <v>31</v>
      </c>
      <c r="AB422" s="23">
        <v>14</v>
      </c>
      <c r="AC422" s="2">
        <v>0.45161290322580599</v>
      </c>
      <c r="AD422" s="14" t="str">
        <f>VLOOKUP(flu_eth_ep[[#This Row],[trust_code]],trust_lookup[],3,0)</f>
        <v>L&amp;G</v>
      </c>
      <c r="AE422" s="14" t="str">
        <f>VLOOKUP(flu_eth_ep[[#This Row],[trust_code]],trust_lookup[],4,0)</f>
        <v>Acute</v>
      </c>
    </row>
    <row r="423" spans="23:31" x14ac:dyDescent="0.35">
      <c r="W423" s="2" t="s">
        <v>118</v>
      </c>
      <c r="X423" s="2" t="s">
        <v>119</v>
      </c>
      <c r="Y423" s="2" t="s">
        <v>193</v>
      </c>
      <c r="Z423" s="2" t="s">
        <v>29</v>
      </c>
      <c r="AA423" s="23">
        <v>101</v>
      </c>
      <c r="AB423" s="23">
        <v>29</v>
      </c>
      <c r="AC423" s="2">
        <v>0.287128712871287</v>
      </c>
      <c r="AD423" s="14" t="str">
        <f>VLOOKUP(flu_eth_ep[[#This Row],[trust_code]],trust_lookup[],3,0)</f>
        <v>L&amp;G</v>
      </c>
      <c r="AE423" s="14" t="str">
        <f>VLOOKUP(flu_eth_ep[[#This Row],[trust_code]],trust_lookup[],4,0)</f>
        <v>Acute</v>
      </c>
    </row>
    <row r="424" spans="23:31" x14ac:dyDescent="0.35">
      <c r="W424" s="2" t="s">
        <v>118</v>
      </c>
      <c r="X424" s="2" t="s">
        <v>119</v>
      </c>
      <c r="Y424" s="2" t="s">
        <v>193</v>
      </c>
      <c r="Z424" s="2" t="s">
        <v>129</v>
      </c>
      <c r="AA424" s="23">
        <v>65</v>
      </c>
      <c r="AB424" s="23">
        <v>14</v>
      </c>
      <c r="AC424" s="2">
        <v>0.21538461538461501</v>
      </c>
      <c r="AD424" s="14" t="str">
        <f>VLOOKUP(flu_eth_ep[[#This Row],[trust_code]],trust_lookup[],3,0)</f>
        <v>L&amp;G</v>
      </c>
      <c r="AE424" s="14" t="str">
        <f>VLOOKUP(flu_eth_ep[[#This Row],[trust_code]],trust_lookup[],4,0)</f>
        <v>Acute</v>
      </c>
    </row>
    <row r="425" spans="23:31" x14ac:dyDescent="0.35">
      <c r="W425" s="2" t="s">
        <v>118</v>
      </c>
      <c r="X425" s="2" t="s">
        <v>119</v>
      </c>
      <c r="Y425" s="2" t="s">
        <v>193</v>
      </c>
      <c r="Z425" s="2" t="s">
        <v>54</v>
      </c>
      <c r="AA425" s="23">
        <v>459</v>
      </c>
      <c r="AB425" s="23">
        <v>197</v>
      </c>
      <c r="AC425" s="2">
        <v>0.42919389978213501</v>
      </c>
      <c r="AD425" s="14" t="str">
        <f>VLOOKUP(flu_eth_ep[[#This Row],[trust_code]],trust_lookup[],3,0)</f>
        <v>L&amp;G</v>
      </c>
      <c r="AE425" s="14" t="str">
        <f>VLOOKUP(flu_eth_ep[[#This Row],[trust_code]],trust_lookup[],4,0)</f>
        <v>Acute</v>
      </c>
    </row>
    <row r="426" spans="23:31" x14ac:dyDescent="0.35">
      <c r="W426" s="2" t="s">
        <v>118</v>
      </c>
      <c r="X426" s="2" t="s">
        <v>119</v>
      </c>
      <c r="Y426" s="2" t="s">
        <v>193</v>
      </c>
      <c r="Z426" s="2" t="s">
        <v>135</v>
      </c>
      <c r="AA426" s="23">
        <v>61</v>
      </c>
      <c r="AB426" s="23">
        <v>36</v>
      </c>
      <c r="AC426" s="2">
        <v>0.59016393442622905</v>
      </c>
      <c r="AD426" s="14" t="str">
        <f>VLOOKUP(flu_eth_ep[[#This Row],[trust_code]],trust_lookup[],3,0)</f>
        <v>L&amp;G</v>
      </c>
      <c r="AE426" s="14" t="str">
        <f>VLOOKUP(flu_eth_ep[[#This Row],[trust_code]],trust_lookup[],4,0)</f>
        <v>Acute</v>
      </c>
    </row>
    <row r="427" spans="23:31" x14ac:dyDescent="0.35">
      <c r="W427" s="2" t="s">
        <v>118</v>
      </c>
      <c r="X427" s="2" t="s">
        <v>119</v>
      </c>
      <c r="Y427" s="2" t="s">
        <v>193</v>
      </c>
      <c r="Z427" s="2" t="s">
        <v>106</v>
      </c>
      <c r="AA427" s="23">
        <v>72</v>
      </c>
      <c r="AB427" s="23">
        <v>44</v>
      </c>
      <c r="AC427" s="2">
        <v>0.61111111111111105</v>
      </c>
      <c r="AD427" s="14" t="str">
        <f>VLOOKUP(flu_eth_ep[[#This Row],[trust_code]],trust_lookup[],3,0)</f>
        <v>L&amp;G</v>
      </c>
      <c r="AE427" s="14" t="str">
        <f>VLOOKUP(flu_eth_ep[[#This Row],[trust_code]],trust_lookup[],4,0)</f>
        <v>Acute</v>
      </c>
    </row>
    <row r="428" spans="23:31" x14ac:dyDescent="0.35">
      <c r="W428" s="2" t="s">
        <v>118</v>
      </c>
      <c r="X428" s="2" t="s">
        <v>119</v>
      </c>
      <c r="Y428" s="2" t="s">
        <v>193</v>
      </c>
      <c r="Z428" s="2" t="s">
        <v>75</v>
      </c>
      <c r="AA428" s="23">
        <v>378</v>
      </c>
      <c r="AB428" s="23">
        <v>100</v>
      </c>
      <c r="AC428" s="2">
        <v>0.26455026455026398</v>
      </c>
      <c r="AD428" s="14" t="str">
        <f>VLOOKUP(flu_eth_ep[[#This Row],[trust_code]],trust_lookup[],3,0)</f>
        <v>L&amp;G</v>
      </c>
      <c r="AE428" s="14" t="str">
        <f>VLOOKUP(flu_eth_ep[[#This Row],[trust_code]],trust_lookup[],4,0)</f>
        <v>Acute</v>
      </c>
    </row>
    <row r="429" spans="23:31" x14ac:dyDescent="0.35">
      <c r="W429" s="2" t="s">
        <v>118</v>
      </c>
      <c r="X429" s="2" t="s">
        <v>119</v>
      </c>
      <c r="Y429" s="2" t="s">
        <v>193</v>
      </c>
      <c r="Z429" s="2" t="s">
        <v>82</v>
      </c>
      <c r="AA429" s="23">
        <v>95</v>
      </c>
      <c r="AB429" s="23">
        <v>28</v>
      </c>
      <c r="AC429" s="2">
        <v>0.29473684210526302</v>
      </c>
      <c r="AD429" s="14" t="str">
        <f>VLOOKUP(flu_eth_ep[[#This Row],[trust_code]],trust_lookup[],3,0)</f>
        <v>L&amp;G</v>
      </c>
      <c r="AE429" s="14" t="str">
        <f>VLOOKUP(flu_eth_ep[[#This Row],[trust_code]],trust_lookup[],4,0)</f>
        <v>Acute</v>
      </c>
    </row>
    <row r="430" spans="23:31" x14ac:dyDescent="0.35">
      <c r="W430" s="2" t="s">
        <v>118</v>
      </c>
      <c r="X430" s="2" t="s">
        <v>119</v>
      </c>
      <c r="Y430" s="2" t="s">
        <v>193</v>
      </c>
      <c r="Z430" s="2" t="s">
        <v>47</v>
      </c>
      <c r="AA430" s="23">
        <v>94</v>
      </c>
      <c r="AB430" s="23">
        <v>37</v>
      </c>
      <c r="AC430" s="2">
        <v>0.39361702127659498</v>
      </c>
      <c r="AD430" s="14" t="str">
        <f>VLOOKUP(flu_eth_ep[[#This Row],[trust_code]],trust_lookup[],3,0)</f>
        <v>L&amp;G</v>
      </c>
      <c r="AE430" s="14" t="str">
        <f>VLOOKUP(flu_eth_ep[[#This Row],[trust_code]],trust_lookup[],4,0)</f>
        <v>Acute</v>
      </c>
    </row>
    <row r="431" spans="23:31" x14ac:dyDescent="0.35">
      <c r="W431" s="2" t="s">
        <v>118</v>
      </c>
      <c r="X431" s="2" t="s">
        <v>119</v>
      </c>
      <c r="Y431" s="2" t="s">
        <v>193</v>
      </c>
      <c r="Z431" s="2" t="s">
        <v>36</v>
      </c>
      <c r="AA431" s="23">
        <v>412</v>
      </c>
      <c r="AB431" s="23">
        <v>124</v>
      </c>
      <c r="AC431" s="2">
        <v>0.30097087378640702</v>
      </c>
      <c r="AD431" s="14" t="str">
        <f>VLOOKUP(flu_eth_ep[[#This Row],[trust_code]],trust_lookup[],3,0)</f>
        <v>L&amp;G</v>
      </c>
      <c r="AE431" s="14" t="str">
        <f>VLOOKUP(flu_eth_ep[[#This Row],[trust_code]],trust_lookup[],4,0)</f>
        <v>Acute</v>
      </c>
    </row>
    <row r="432" spans="23:31" x14ac:dyDescent="0.35">
      <c r="W432" s="2" t="s">
        <v>118</v>
      </c>
      <c r="X432" s="2" t="s">
        <v>119</v>
      </c>
      <c r="Y432" s="2" t="s">
        <v>193</v>
      </c>
      <c r="Z432" s="2" t="s">
        <v>68</v>
      </c>
      <c r="AA432" s="23">
        <v>1466</v>
      </c>
      <c r="AB432" s="23">
        <v>715</v>
      </c>
      <c r="AC432" s="2">
        <v>0.48772169167803497</v>
      </c>
      <c r="AD432" s="14" t="str">
        <f>VLOOKUP(flu_eth_ep[[#This Row],[trust_code]],trust_lookup[],3,0)</f>
        <v>L&amp;G</v>
      </c>
      <c r="AE432" s="14" t="str">
        <f>VLOOKUP(flu_eth_ep[[#This Row],[trust_code]],trust_lookup[],4,0)</f>
        <v>Acute</v>
      </c>
    </row>
    <row r="433" spans="23:31" x14ac:dyDescent="0.35">
      <c r="W433" s="2" t="s">
        <v>118</v>
      </c>
      <c r="X433" s="2" t="s">
        <v>119</v>
      </c>
      <c r="Y433" s="2" t="s">
        <v>193</v>
      </c>
      <c r="Z433" s="2" t="s">
        <v>61</v>
      </c>
      <c r="AA433" s="23">
        <v>343</v>
      </c>
      <c r="AB433" s="23">
        <v>56</v>
      </c>
      <c r="AC433" s="2">
        <v>0.163265306122448</v>
      </c>
      <c r="AD433" s="14" t="str">
        <f>VLOOKUP(flu_eth_ep[[#This Row],[trust_code]],trust_lookup[],3,0)</f>
        <v>L&amp;G</v>
      </c>
      <c r="AE433" s="14" t="str">
        <f>VLOOKUP(flu_eth_ep[[#This Row],[trust_code]],trust_lookup[],4,0)</f>
        <v>Acute</v>
      </c>
    </row>
    <row r="434" spans="23:31" x14ac:dyDescent="0.35">
      <c r="W434" s="2" t="s">
        <v>118</v>
      </c>
      <c r="X434" s="2" t="s">
        <v>119</v>
      </c>
      <c r="Y434" s="2" t="s">
        <v>193</v>
      </c>
      <c r="Z434" s="2" t="s">
        <v>112</v>
      </c>
      <c r="AA434" s="23">
        <v>363</v>
      </c>
      <c r="AB434" s="23">
        <v>136</v>
      </c>
      <c r="AC434" s="2">
        <v>0.37465564738292001</v>
      </c>
      <c r="AD434" s="14" t="str">
        <f>VLOOKUP(flu_eth_ep[[#This Row],[trust_code]],trust_lookup[],3,0)</f>
        <v>L&amp;G</v>
      </c>
      <c r="AE434" s="14" t="str">
        <f>VLOOKUP(flu_eth_ep[[#This Row],[trust_code]],trust_lookup[],4,0)</f>
        <v>Acute</v>
      </c>
    </row>
    <row r="435" spans="23:31" x14ac:dyDescent="0.35">
      <c r="W435" s="2" t="s">
        <v>118</v>
      </c>
      <c r="X435" s="2" t="s">
        <v>119</v>
      </c>
      <c r="Y435" s="2" t="s">
        <v>193</v>
      </c>
      <c r="Z435" s="2" t="s">
        <v>123</v>
      </c>
      <c r="AA435" s="23">
        <v>465</v>
      </c>
      <c r="AB435" s="23">
        <v>185</v>
      </c>
      <c r="AC435" s="2">
        <v>0.39784946236559099</v>
      </c>
      <c r="AD435" s="14" t="str">
        <f>VLOOKUP(flu_eth_ep[[#This Row],[trust_code]],trust_lookup[],3,0)</f>
        <v>L&amp;G</v>
      </c>
      <c r="AE435" s="14" t="str">
        <f>VLOOKUP(flu_eth_ep[[#This Row],[trust_code]],trust_lookup[],4,0)</f>
        <v>Acute</v>
      </c>
    </row>
    <row r="436" spans="23:31" x14ac:dyDescent="0.35">
      <c r="W436" s="2" t="s">
        <v>118</v>
      </c>
      <c r="X436" s="2" t="s">
        <v>119</v>
      </c>
      <c r="Y436" s="2" t="s">
        <v>193</v>
      </c>
      <c r="Z436" s="2" t="s">
        <v>100</v>
      </c>
      <c r="AA436" s="23">
        <v>1544</v>
      </c>
      <c r="AB436" s="23">
        <v>381</v>
      </c>
      <c r="AC436" s="2">
        <v>0.24676165803108799</v>
      </c>
      <c r="AD436" s="14" t="str">
        <f>VLOOKUP(flu_eth_ep[[#This Row],[trust_code]],trust_lookup[],3,0)</f>
        <v>L&amp;G</v>
      </c>
      <c r="AE436" s="14" t="str">
        <f>VLOOKUP(flu_eth_ep[[#This Row],[trust_code]],trust_lookup[],4,0)</f>
        <v>Acute</v>
      </c>
    </row>
    <row r="437" spans="23:31" x14ac:dyDescent="0.35">
      <c r="W437" s="2" t="s">
        <v>152</v>
      </c>
      <c r="X437" s="2" t="s">
        <v>153</v>
      </c>
      <c r="Y437" s="2" t="s">
        <v>193</v>
      </c>
      <c r="Z437" s="2" t="s">
        <v>36</v>
      </c>
      <c r="AA437" s="23">
        <v>7</v>
      </c>
      <c r="AB437" s="23">
        <v>0</v>
      </c>
      <c r="AC437" s="2">
        <v>0</v>
      </c>
      <c r="AD437" s="14" t="str">
        <f>VLOOKUP(flu_eth_ep[[#This Row],[trust_code]],trust_lookup[],3,0)</f>
        <v>Oxleas</v>
      </c>
      <c r="AE437" s="14" t="str">
        <f>VLOOKUP(flu_eth_ep[[#This Row],[trust_code]],trust_lookup[],4,0)</f>
        <v>Mental Health &amp; Community</v>
      </c>
    </row>
    <row r="438" spans="23:31" x14ac:dyDescent="0.35">
      <c r="W438" s="2" t="s">
        <v>152</v>
      </c>
      <c r="X438" s="2" t="s">
        <v>153</v>
      </c>
      <c r="Y438" s="2" t="s">
        <v>193</v>
      </c>
      <c r="Z438" s="2" t="s">
        <v>106</v>
      </c>
      <c r="AA438" s="23">
        <v>20</v>
      </c>
      <c r="AB438" s="23">
        <v>12</v>
      </c>
      <c r="AC438" s="2">
        <v>0.6</v>
      </c>
      <c r="AD438" s="14" t="str">
        <f>VLOOKUP(flu_eth_ep[[#This Row],[trust_code]],trust_lookup[],3,0)</f>
        <v>Oxleas</v>
      </c>
      <c r="AE438" s="14" t="str">
        <f>VLOOKUP(flu_eth_ep[[#This Row],[trust_code]],trust_lookup[],4,0)</f>
        <v>Mental Health &amp; Community</v>
      </c>
    </row>
    <row r="439" spans="23:31" x14ac:dyDescent="0.35">
      <c r="W439" s="2" t="s">
        <v>152</v>
      </c>
      <c r="X439" s="2" t="s">
        <v>153</v>
      </c>
      <c r="Y439" s="2" t="s">
        <v>193</v>
      </c>
      <c r="Z439" s="2" t="s">
        <v>135</v>
      </c>
      <c r="AA439" s="23">
        <v>28</v>
      </c>
      <c r="AB439" s="23">
        <v>10</v>
      </c>
      <c r="AC439" s="2">
        <v>0.35714285714285698</v>
      </c>
      <c r="AD439" s="14" t="str">
        <f>VLOOKUP(flu_eth_ep[[#This Row],[trust_code]],trust_lookup[],3,0)</f>
        <v>Oxleas</v>
      </c>
      <c r="AE439" s="14" t="str">
        <f>VLOOKUP(flu_eth_ep[[#This Row],[trust_code]],trust_lookup[],4,0)</f>
        <v>Mental Health &amp; Community</v>
      </c>
    </row>
    <row r="440" spans="23:31" x14ac:dyDescent="0.35">
      <c r="W440" s="2" t="s">
        <v>152</v>
      </c>
      <c r="X440" s="2" t="s">
        <v>153</v>
      </c>
      <c r="Y440" s="2" t="s">
        <v>193</v>
      </c>
      <c r="Z440" s="2" t="s">
        <v>29</v>
      </c>
      <c r="AA440" s="23">
        <v>28</v>
      </c>
      <c r="AB440" s="23">
        <v>13</v>
      </c>
      <c r="AC440" s="2">
        <v>0.46428571428571402</v>
      </c>
      <c r="AD440" s="14" t="str">
        <f>VLOOKUP(flu_eth_ep[[#This Row],[trust_code]],trust_lookup[],3,0)</f>
        <v>Oxleas</v>
      </c>
      <c r="AE440" s="14" t="str">
        <f>VLOOKUP(flu_eth_ep[[#This Row],[trust_code]],trust_lookup[],4,0)</f>
        <v>Mental Health &amp; Community</v>
      </c>
    </row>
    <row r="441" spans="23:31" x14ac:dyDescent="0.35">
      <c r="W441" s="2" t="s">
        <v>152</v>
      </c>
      <c r="X441" s="2" t="s">
        <v>153</v>
      </c>
      <c r="Y441" s="2" t="s">
        <v>193</v>
      </c>
      <c r="Z441" s="2" t="s">
        <v>82</v>
      </c>
      <c r="AA441" s="23">
        <v>30</v>
      </c>
      <c r="AB441" s="23">
        <v>5</v>
      </c>
      <c r="AC441" s="2">
        <v>0.16666666666666599</v>
      </c>
      <c r="AD441" s="14" t="str">
        <f>VLOOKUP(flu_eth_ep[[#This Row],[trust_code]],trust_lookup[],3,0)</f>
        <v>Oxleas</v>
      </c>
      <c r="AE441" s="14" t="str">
        <f>VLOOKUP(flu_eth_ep[[#This Row],[trust_code]],trust_lookup[],4,0)</f>
        <v>Mental Health &amp; Community</v>
      </c>
    </row>
    <row r="442" spans="23:31" x14ac:dyDescent="0.35">
      <c r="W442" s="2" t="s">
        <v>152</v>
      </c>
      <c r="X442" s="2" t="s">
        <v>153</v>
      </c>
      <c r="Y442" s="2" t="s">
        <v>193</v>
      </c>
      <c r="Z442" s="2" t="s">
        <v>112</v>
      </c>
      <c r="AA442" s="23">
        <v>70</v>
      </c>
      <c r="AB442" s="23">
        <v>20</v>
      </c>
      <c r="AC442" s="2">
        <v>0.28571428571428498</v>
      </c>
      <c r="AD442" s="14" t="str">
        <f>VLOOKUP(flu_eth_ep[[#This Row],[trust_code]],trust_lookup[],3,0)</f>
        <v>Oxleas</v>
      </c>
      <c r="AE442" s="14" t="str">
        <f>VLOOKUP(flu_eth_ep[[#This Row],[trust_code]],trust_lookup[],4,0)</f>
        <v>Mental Health &amp; Community</v>
      </c>
    </row>
    <row r="443" spans="23:31" x14ac:dyDescent="0.35">
      <c r="W443" s="2" t="s">
        <v>152</v>
      </c>
      <c r="X443" s="2" t="s">
        <v>153</v>
      </c>
      <c r="Y443" s="2" t="s">
        <v>193</v>
      </c>
      <c r="Z443" s="2" t="s">
        <v>61</v>
      </c>
      <c r="AA443" s="23">
        <v>84</v>
      </c>
      <c r="AB443" s="23">
        <v>25</v>
      </c>
      <c r="AC443" s="2">
        <v>0.29761904761904701</v>
      </c>
      <c r="AD443" s="14" t="str">
        <f>VLOOKUP(flu_eth_ep[[#This Row],[trust_code]],trust_lookup[],3,0)</f>
        <v>Oxleas</v>
      </c>
      <c r="AE443" s="14" t="str">
        <f>VLOOKUP(flu_eth_ep[[#This Row],[trust_code]],trust_lookup[],4,0)</f>
        <v>Mental Health &amp; Community</v>
      </c>
    </row>
    <row r="444" spans="23:31" x14ac:dyDescent="0.35">
      <c r="W444" s="2" t="s">
        <v>152</v>
      </c>
      <c r="X444" s="2" t="s">
        <v>153</v>
      </c>
      <c r="Y444" s="2" t="s">
        <v>193</v>
      </c>
      <c r="Z444" s="2" t="s">
        <v>36</v>
      </c>
      <c r="AA444" s="23">
        <v>143</v>
      </c>
      <c r="AB444" s="23">
        <v>49</v>
      </c>
      <c r="AC444" s="2">
        <v>0.34265734265734199</v>
      </c>
      <c r="AD444" s="14" t="str">
        <f>VLOOKUP(flu_eth_ep[[#This Row],[trust_code]],trust_lookup[],3,0)</f>
        <v>Oxleas</v>
      </c>
      <c r="AE444" s="14" t="str">
        <f>VLOOKUP(flu_eth_ep[[#This Row],[trust_code]],trust_lookup[],4,0)</f>
        <v>Mental Health &amp; Community</v>
      </c>
    </row>
    <row r="445" spans="23:31" x14ac:dyDescent="0.35">
      <c r="W445" s="2" t="s">
        <v>152</v>
      </c>
      <c r="X445" s="2" t="s">
        <v>153</v>
      </c>
      <c r="Y445" s="2" t="s">
        <v>193</v>
      </c>
      <c r="Z445" s="2" t="s">
        <v>100</v>
      </c>
      <c r="AA445" s="23">
        <v>873</v>
      </c>
      <c r="AB445" s="23">
        <v>259</v>
      </c>
      <c r="AC445" s="2">
        <v>0.29667812142038902</v>
      </c>
      <c r="AD445" s="14" t="str">
        <f>VLOOKUP(flu_eth_ep[[#This Row],[trust_code]],trust_lookup[],3,0)</f>
        <v>Oxleas</v>
      </c>
      <c r="AE445" s="14" t="str">
        <f>VLOOKUP(flu_eth_ep[[#This Row],[trust_code]],trust_lookup[],4,0)</f>
        <v>Mental Health &amp; Community</v>
      </c>
    </row>
    <row r="446" spans="23:31" x14ac:dyDescent="0.35">
      <c r="W446" s="2" t="s">
        <v>152</v>
      </c>
      <c r="X446" s="2" t="s">
        <v>153</v>
      </c>
      <c r="Y446" s="2" t="s">
        <v>193</v>
      </c>
      <c r="Z446" s="2" t="s">
        <v>141</v>
      </c>
      <c r="AA446" s="23">
        <v>86</v>
      </c>
      <c r="AB446" s="23">
        <v>34</v>
      </c>
      <c r="AC446" s="2">
        <v>0.39534883720930197</v>
      </c>
      <c r="AD446" s="14" t="str">
        <f>VLOOKUP(flu_eth_ep[[#This Row],[trust_code]],trust_lookup[],3,0)</f>
        <v>Oxleas</v>
      </c>
      <c r="AE446" s="14" t="str">
        <f>VLOOKUP(flu_eth_ep[[#This Row],[trust_code]],trust_lookup[],4,0)</f>
        <v>Mental Health &amp; Community</v>
      </c>
    </row>
    <row r="447" spans="23:31" x14ac:dyDescent="0.35">
      <c r="W447" s="2" t="s">
        <v>152</v>
      </c>
      <c r="X447" s="2" t="s">
        <v>153</v>
      </c>
      <c r="Y447" s="2" t="s">
        <v>193</v>
      </c>
      <c r="Z447" s="2" t="s">
        <v>88</v>
      </c>
      <c r="AA447" s="23">
        <v>9</v>
      </c>
      <c r="AB447" s="23">
        <v>2</v>
      </c>
      <c r="AC447" s="2">
        <v>0.22222222222222199</v>
      </c>
      <c r="AD447" s="14" t="str">
        <f>VLOOKUP(flu_eth_ep[[#This Row],[trust_code]],trust_lookup[],3,0)</f>
        <v>Oxleas</v>
      </c>
      <c r="AE447" s="14" t="str">
        <f>VLOOKUP(flu_eth_ep[[#This Row],[trust_code]],trust_lookup[],4,0)</f>
        <v>Mental Health &amp; Community</v>
      </c>
    </row>
    <row r="448" spans="23:31" x14ac:dyDescent="0.35">
      <c r="W448" s="2" t="s">
        <v>152</v>
      </c>
      <c r="X448" s="2" t="s">
        <v>153</v>
      </c>
      <c r="Y448" s="2" t="s">
        <v>193</v>
      </c>
      <c r="Z448" s="2" t="s">
        <v>68</v>
      </c>
      <c r="AA448" s="23">
        <v>1078</v>
      </c>
      <c r="AB448" s="23">
        <v>527</v>
      </c>
      <c r="AC448" s="2">
        <v>0.48886827458255999</v>
      </c>
      <c r="AD448" s="14" t="str">
        <f>VLOOKUP(flu_eth_ep[[#This Row],[trust_code]],trust_lookup[],3,0)</f>
        <v>Oxleas</v>
      </c>
      <c r="AE448" s="14" t="str">
        <f>VLOOKUP(flu_eth_ep[[#This Row],[trust_code]],trust_lookup[],4,0)</f>
        <v>Mental Health &amp; Community</v>
      </c>
    </row>
    <row r="449" spans="23:31" x14ac:dyDescent="0.35">
      <c r="W449" s="2" t="s">
        <v>152</v>
      </c>
      <c r="X449" s="2" t="s">
        <v>153</v>
      </c>
      <c r="Y449" s="2" t="s">
        <v>193</v>
      </c>
      <c r="Z449" s="2" t="s">
        <v>129</v>
      </c>
      <c r="AA449" s="23">
        <v>17</v>
      </c>
      <c r="AB449" s="23">
        <v>6</v>
      </c>
      <c r="AC449" s="2">
        <v>0.35294117647058798</v>
      </c>
      <c r="AD449" s="14" t="str">
        <f>VLOOKUP(flu_eth_ep[[#This Row],[trust_code]],trust_lookup[],3,0)</f>
        <v>Oxleas</v>
      </c>
      <c r="AE449" s="14" t="str">
        <f>VLOOKUP(flu_eth_ep[[#This Row],[trust_code]],trust_lookup[],4,0)</f>
        <v>Mental Health &amp; Community</v>
      </c>
    </row>
    <row r="450" spans="23:31" x14ac:dyDescent="0.35">
      <c r="W450" s="2" t="s">
        <v>152</v>
      </c>
      <c r="X450" s="2" t="s">
        <v>153</v>
      </c>
      <c r="Y450" s="2" t="s">
        <v>193</v>
      </c>
      <c r="Z450" s="2" t="s">
        <v>75</v>
      </c>
      <c r="AA450" s="23">
        <v>193</v>
      </c>
      <c r="AB450" s="23">
        <v>57</v>
      </c>
      <c r="AC450" s="2">
        <v>0.295336787564766</v>
      </c>
      <c r="AD450" s="14" t="str">
        <f>VLOOKUP(flu_eth_ep[[#This Row],[trust_code]],trust_lookup[],3,0)</f>
        <v>Oxleas</v>
      </c>
      <c r="AE450" s="14" t="str">
        <f>VLOOKUP(flu_eth_ep[[#This Row],[trust_code]],trust_lookup[],4,0)</f>
        <v>Mental Health &amp; Community</v>
      </c>
    </row>
    <row r="451" spans="23:31" x14ac:dyDescent="0.35">
      <c r="W451" s="2" t="s">
        <v>152</v>
      </c>
      <c r="X451" s="2" t="s">
        <v>153</v>
      </c>
      <c r="Y451" s="2" t="s">
        <v>193</v>
      </c>
      <c r="Z451" s="2" t="s">
        <v>94</v>
      </c>
      <c r="AA451" s="23">
        <v>12</v>
      </c>
      <c r="AB451" s="23">
        <v>5</v>
      </c>
      <c r="AC451" s="2">
        <v>0.41666666666666602</v>
      </c>
      <c r="AD451" s="14" t="str">
        <f>VLOOKUP(flu_eth_ep[[#This Row],[trust_code]],trust_lookup[],3,0)</f>
        <v>Oxleas</v>
      </c>
      <c r="AE451" s="14" t="str">
        <f>VLOOKUP(flu_eth_ep[[#This Row],[trust_code]],trust_lookup[],4,0)</f>
        <v>Mental Health &amp; Community</v>
      </c>
    </row>
    <row r="452" spans="23:31" x14ac:dyDescent="0.35">
      <c r="W452" s="2" t="s">
        <v>152</v>
      </c>
      <c r="X452" s="2" t="s">
        <v>153</v>
      </c>
      <c r="Y452" s="2" t="s">
        <v>193</v>
      </c>
      <c r="Z452" s="2" t="s">
        <v>47</v>
      </c>
      <c r="AA452" s="23">
        <v>77</v>
      </c>
      <c r="AB452" s="23">
        <v>25</v>
      </c>
      <c r="AC452" s="2">
        <v>0.32467532467532401</v>
      </c>
      <c r="AD452" s="14" t="str">
        <f>VLOOKUP(flu_eth_ep[[#This Row],[trust_code]],trust_lookup[],3,0)</f>
        <v>Oxleas</v>
      </c>
      <c r="AE452" s="14" t="str">
        <f>VLOOKUP(flu_eth_ep[[#This Row],[trust_code]],trust_lookup[],4,0)</f>
        <v>Mental Health &amp; Community</v>
      </c>
    </row>
    <row r="453" spans="23:31" x14ac:dyDescent="0.35">
      <c r="W453" s="2" t="s">
        <v>152</v>
      </c>
      <c r="X453" s="2" t="s">
        <v>153</v>
      </c>
      <c r="Y453" s="2" t="s">
        <v>193</v>
      </c>
      <c r="Z453" s="2" t="s">
        <v>123</v>
      </c>
      <c r="AA453" s="23">
        <v>118</v>
      </c>
      <c r="AB453" s="23">
        <v>45</v>
      </c>
      <c r="AC453" s="2">
        <v>0.38135593220338898</v>
      </c>
      <c r="AD453" s="14" t="str">
        <f>VLOOKUP(flu_eth_ep[[#This Row],[trust_code]],trust_lookup[],3,0)</f>
        <v>Oxleas</v>
      </c>
      <c r="AE453" s="14" t="str">
        <f>VLOOKUP(flu_eth_ep[[#This Row],[trust_code]],trust_lookup[],4,0)</f>
        <v>Mental Health &amp; Community</v>
      </c>
    </row>
    <row r="454" spans="23:31" x14ac:dyDescent="0.35">
      <c r="W454" s="2" t="s">
        <v>152</v>
      </c>
      <c r="X454" s="2" t="s">
        <v>153</v>
      </c>
      <c r="Y454" s="2" t="s">
        <v>193</v>
      </c>
      <c r="Z454" s="2" t="s">
        <v>54</v>
      </c>
      <c r="AA454" s="23">
        <v>186</v>
      </c>
      <c r="AB454" s="23">
        <v>72</v>
      </c>
      <c r="AC454" s="2">
        <v>0.38709677419354799</v>
      </c>
      <c r="AD454" s="14" t="str">
        <f>VLOOKUP(flu_eth_ep[[#This Row],[trust_code]],trust_lookup[],3,0)</f>
        <v>Oxleas</v>
      </c>
      <c r="AE454" s="14" t="str">
        <f>VLOOKUP(flu_eth_ep[[#This Row],[trust_code]],trust_lookup[],4,0)</f>
        <v>Mental Health &amp; Community</v>
      </c>
    </row>
    <row r="455" spans="23:31" x14ac:dyDescent="0.35">
      <c r="W455" s="2" t="s">
        <v>164</v>
      </c>
      <c r="X455" s="2" t="s">
        <v>165</v>
      </c>
      <c r="Y455" s="2" t="s">
        <v>193</v>
      </c>
      <c r="Z455" s="2" t="s">
        <v>36</v>
      </c>
      <c r="AA455" s="23">
        <v>198</v>
      </c>
      <c r="AB455" s="23">
        <v>69</v>
      </c>
      <c r="AC455" s="2">
        <v>0.34848484848484801</v>
      </c>
      <c r="AD455" s="14" t="str">
        <f>VLOOKUP(flu_eth_ep[[#This Row],[trust_code]],trust_lookup[],3,0)</f>
        <v>SLAM</v>
      </c>
      <c r="AE455" s="14" t="str">
        <f>VLOOKUP(flu_eth_ep[[#This Row],[trust_code]],trust_lookup[],4,0)</f>
        <v>Mental Health</v>
      </c>
    </row>
    <row r="456" spans="23:31" x14ac:dyDescent="0.35">
      <c r="W456" s="2" t="s">
        <v>164</v>
      </c>
      <c r="X456" s="2" t="s">
        <v>165</v>
      </c>
      <c r="Y456" s="2" t="s">
        <v>193</v>
      </c>
      <c r="Z456" s="2" t="s">
        <v>106</v>
      </c>
      <c r="AA456" s="23">
        <v>42</v>
      </c>
      <c r="AB456" s="23">
        <v>24</v>
      </c>
      <c r="AC456" s="2">
        <v>0.57142857142857095</v>
      </c>
      <c r="AD456" s="14" t="str">
        <f>VLOOKUP(flu_eth_ep[[#This Row],[trust_code]],trust_lookup[],3,0)</f>
        <v>SLAM</v>
      </c>
      <c r="AE456" s="14" t="str">
        <f>VLOOKUP(flu_eth_ep[[#This Row],[trust_code]],trust_lookup[],4,0)</f>
        <v>Mental Health</v>
      </c>
    </row>
    <row r="457" spans="23:31" x14ac:dyDescent="0.35">
      <c r="W457" s="2" t="s">
        <v>164</v>
      </c>
      <c r="X457" s="2" t="s">
        <v>165</v>
      </c>
      <c r="Y457" s="2" t="s">
        <v>193</v>
      </c>
      <c r="Z457" s="2" t="s">
        <v>123</v>
      </c>
      <c r="AA457" s="23">
        <v>125</v>
      </c>
      <c r="AB457" s="23">
        <v>54</v>
      </c>
      <c r="AC457" s="2">
        <v>0.432</v>
      </c>
      <c r="AD457" s="14" t="str">
        <f>VLOOKUP(flu_eth_ep[[#This Row],[trust_code]],trust_lookup[],3,0)</f>
        <v>SLAM</v>
      </c>
      <c r="AE457" s="14" t="str">
        <f>VLOOKUP(flu_eth_ep[[#This Row],[trust_code]],trust_lookup[],4,0)</f>
        <v>Mental Health</v>
      </c>
    </row>
    <row r="458" spans="23:31" x14ac:dyDescent="0.35">
      <c r="W458" s="2" t="s">
        <v>164</v>
      </c>
      <c r="X458" s="2" t="s">
        <v>165</v>
      </c>
      <c r="Y458" s="2" t="s">
        <v>193</v>
      </c>
      <c r="Z458" s="2" t="s">
        <v>54</v>
      </c>
      <c r="AA458" s="23">
        <v>394</v>
      </c>
      <c r="AB458" s="23">
        <v>184</v>
      </c>
      <c r="AC458" s="2">
        <v>0.46700507614213199</v>
      </c>
      <c r="AD458" s="14" t="str">
        <f>VLOOKUP(flu_eth_ep[[#This Row],[trust_code]],trust_lookup[],3,0)</f>
        <v>SLAM</v>
      </c>
      <c r="AE458" s="14" t="str">
        <f>VLOOKUP(flu_eth_ep[[#This Row],[trust_code]],trust_lookup[],4,0)</f>
        <v>Mental Health</v>
      </c>
    </row>
    <row r="459" spans="23:31" x14ac:dyDescent="0.35">
      <c r="W459" s="2" t="s">
        <v>164</v>
      </c>
      <c r="X459" s="2" t="s">
        <v>165</v>
      </c>
      <c r="Y459" s="2" t="s">
        <v>193</v>
      </c>
      <c r="Z459" s="2" t="s">
        <v>100</v>
      </c>
      <c r="AA459" s="23">
        <v>1035</v>
      </c>
      <c r="AB459" s="23">
        <v>269</v>
      </c>
      <c r="AC459" s="2">
        <v>0.25990338164251198</v>
      </c>
      <c r="AD459" s="14" t="str">
        <f>VLOOKUP(flu_eth_ep[[#This Row],[trust_code]],trust_lookup[],3,0)</f>
        <v>SLAM</v>
      </c>
      <c r="AE459" s="14" t="str">
        <f>VLOOKUP(flu_eth_ep[[#This Row],[trust_code]],trust_lookup[],4,0)</f>
        <v>Mental Health</v>
      </c>
    </row>
    <row r="460" spans="23:31" x14ac:dyDescent="0.35">
      <c r="W460" s="2" t="s">
        <v>164</v>
      </c>
      <c r="X460" s="2" t="s">
        <v>165</v>
      </c>
      <c r="Y460" s="2" t="s">
        <v>193</v>
      </c>
      <c r="Z460" s="2" t="s">
        <v>68</v>
      </c>
      <c r="AA460" s="23">
        <v>1313</v>
      </c>
      <c r="AB460" s="23">
        <v>687</v>
      </c>
      <c r="AC460" s="2">
        <v>0.52322924600152299</v>
      </c>
      <c r="AD460" s="14" t="str">
        <f>VLOOKUP(flu_eth_ep[[#This Row],[trust_code]],trust_lookup[],3,0)</f>
        <v>SLAM</v>
      </c>
      <c r="AE460" s="14" t="str">
        <f>VLOOKUP(flu_eth_ep[[#This Row],[trust_code]],trust_lookup[],4,0)</f>
        <v>Mental Health</v>
      </c>
    </row>
    <row r="461" spans="23:31" x14ac:dyDescent="0.35">
      <c r="W461" s="2" t="s">
        <v>164</v>
      </c>
      <c r="X461" s="2" t="s">
        <v>165</v>
      </c>
      <c r="Y461" s="2" t="s">
        <v>193</v>
      </c>
      <c r="Z461" s="2" t="s">
        <v>75</v>
      </c>
      <c r="AA461" s="23">
        <v>239</v>
      </c>
      <c r="AB461" s="23">
        <v>65</v>
      </c>
      <c r="AC461" s="2">
        <v>0.27196652719665199</v>
      </c>
      <c r="AD461" s="14" t="str">
        <f>VLOOKUP(flu_eth_ep[[#This Row],[trust_code]],trust_lookup[],3,0)</f>
        <v>SLAM</v>
      </c>
      <c r="AE461" s="14" t="str">
        <f>VLOOKUP(flu_eth_ep[[#This Row],[trust_code]],trust_lookup[],4,0)</f>
        <v>Mental Health</v>
      </c>
    </row>
    <row r="462" spans="23:31" x14ac:dyDescent="0.35">
      <c r="W462" s="2" t="s">
        <v>164</v>
      </c>
      <c r="X462" s="2" t="s">
        <v>165</v>
      </c>
      <c r="Y462" s="2" t="s">
        <v>193</v>
      </c>
      <c r="Z462" s="2" t="s">
        <v>135</v>
      </c>
      <c r="AA462" s="23">
        <v>74</v>
      </c>
      <c r="AB462" s="23">
        <v>44</v>
      </c>
      <c r="AC462" s="2">
        <v>0.59459459459459396</v>
      </c>
      <c r="AD462" s="14" t="str">
        <f>VLOOKUP(flu_eth_ep[[#This Row],[trust_code]],trust_lookup[],3,0)</f>
        <v>SLAM</v>
      </c>
      <c r="AE462" s="14" t="str">
        <f>VLOOKUP(flu_eth_ep[[#This Row],[trust_code]],trust_lookup[],4,0)</f>
        <v>Mental Health</v>
      </c>
    </row>
    <row r="463" spans="23:31" x14ac:dyDescent="0.35">
      <c r="W463" s="2" t="s">
        <v>164</v>
      </c>
      <c r="X463" s="2" t="s">
        <v>165</v>
      </c>
      <c r="Y463" s="2" t="s">
        <v>193</v>
      </c>
      <c r="Z463" s="2" t="s">
        <v>94</v>
      </c>
      <c r="AA463" s="23">
        <v>19</v>
      </c>
      <c r="AB463" s="23">
        <v>7</v>
      </c>
      <c r="AC463" s="2">
        <v>0.36842105263157798</v>
      </c>
      <c r="AD463" s="14" t="str">
        <f>VLOOKUP(flu_eth_ep[[#This Row],[trust_code]],trust_lookup[],3,0)</f>
        <v>SLAM</v>
      </c>
      <c r="AE463" s="14" t="str">
        <f>VLOOKUP(flu_eth_ep[[#This Row],[trust_code]],trust_lookup[],4,0)</f>
        <v>Mental Health</v>
      </c>
    </row>
    <row r="464" spans="23:31" x14ac:dyDescent="0.35">
      <c r="W464" s="2" t="s">
        <v>164</v>
      </c>
      <c r="X464" s="2" t="s">
        <v>165</v>
      </c>
      <c r="Y464" s="2" t="s">
        <v>193</v>
      </c>
      <c r="Z464" s="2" t="s">
        <v>61</v>
      </c>
      <c r="AA464" s="23">
        <v>158</v>
      </c>
      <c r="AB464" s="23">
        <v>25</v>
      </c>
      <c r="AC464" s="2">
        <v>0.158227848101265</v>
      </c>
      <c r="AD464" s="14" t="str">
        <f>VLOOKUP(flu_eth_ep[[#This Row],[trust_code]],trust_lookup[],3,0)</f>
        <v>SLAM</v>
      </c>
      <c r="AE464" s="14" t="str">
        <f>VLOOKUP(flu_eth_ep[[#This Row],[trust_code]],trust_lookup[],4,0)</f>
        <v>Mental Health</v>
      </c>
    </row>
    <row r="465" spans="23:31" x14ac:dyDescent="0.35">
      <c r="W465" s="2" t="s">
        <v>164</v>
      </c>
      <c r="X465" s="2" t="s">
        <v>165</v>
      </c>
      <c r="Y465" s="2" t="s">
        <v>193</v>
      </c>
      <c r="Z465" s="2" t="s">
        <v>112</v>
      </c>
      <c r="AA465" s="23">
        <v>147</v>
      </c>
      <c r="AB465" s="23">
        <v>52</v>
      </c>
      <c r="AC465" s="2">
        <v>0.35374149659863902</v>
      </c>
      <c r="AD465" s="14" t="str">
        <f>VLOOKUP(flu_eth_ep[[#This Row],[trust_code]],trust_lookup[],3,0)</f>
        <v>SLAM</v>
      </c>
      <c r="AE465" s="14" t="str">
        <f>VLOOKUP(flu_eth_ep[[#This Row],[trust_code]],trust_lookup[],4,0)</f>
        <v>Mental Health</v>
      </c>
    </row>
    <row r="466" spans="23:31" x14ac:dyDescent="0.35">
      <c r="W466" s="2" t="s">
        <v>164</v>
      </c>
      <c r="X466" s="2" t="s">
        <v>165</v>
      </c>
      <c r="Y466" s="2" t="s">
        <v>193</v>
      </c>
      <c r="Z466" s="2" t="s">
        <v>88</v>
      </c>
      <c r="AA466" s="23">
        <v>19</v>
      </c>
      <c r="AB466" s="23">
        <v>5</v>
      </c>
      <c r="AC466" s="2">
        <v>0.26315789473684198</v>
      </c>
      <c r="AD466" s="14" t="str">
        <f>VLOOKUP(flu_eth_ep[[#This Row],[trust_code]],trust_lookup[],3,0)</f>
        <v>SLAM</v>
      </c>
      <c r="AE466" s="14" t="str">
        <f>VLOOKUP(flu_eth_ep[[#This Row],[trust_code]],trust_lookup[],4,0)</f>
        <v>Mental Health</v>
      </c>
    </row>
    <row r="467" spans="23:31" x14ac:dyDescent="0.35">
      <c r="W467" s="2" t="s">
        <v>164</v>
      </c>
      <c r="X467" s="2" t="s">
        <v>165</v>
      </c>
      <c r="Y467" s="2" t="s">
        <v>193</v>
      </c>
      <c r="Z467" s="2" t="s">
        <v>141</v>
      </c>
      <c r="AA467" s="23">
        <v>120</v>
      </c>
      <c r="AB467" s="23">
        <v>49</v>
      </c>
      <c r="AC467" s="2">
        <v>0.40833333333333299</v>
      </c>
      <c r="AD467" s="14" t="str">
        <f>VLOOKUP(flu_eth_ep[[#This Row],[trust_code]],trust_lookup[],3,0)</f>
        <v>SLAM</v>
      </c>
      <c r="AE467" s="14" t="str">
        <f>VLOOKUP(flu_eth_ep[[#This Row],[trust_code]],trust_lookup[],4,0)</f>
        <v>Mental Health</v>
      </c>
    </row>
    <row r="468" spans="23:31" x14ac:dyDescent="0.35">
      <c r="W468" s="2" t="s">
        <v>164</v>
      </c>
      <c r="X468" s="2" t="s">
        <v>165</v>
      </c>
      <c r="Y468" s="2" t="s">
        <v>193</v>
      </c>
      <c r="Z468" s="2" t="s">
        <v>129</v>
      </c>
      <c r="AA468" s="23">
        <v>39</v>
      </c>
      <c r="AB468" s="23">
        <v>9</v>
      </c>
      <c r="AC468" s="2">
        <v>0.23076923076923</v>
      </c>
      <c r="AD468" s="14" t="str">
        <f>VLOOKUP(flu_eth_ep[[#This Row],[trust_code]],trust_lookup[],3,0)</f>
        <v>SLAM</v>
      </c>
      <c r="AE468" s="14" t="str">
        <f>VLOOKUP(flu_eth_ep[[#This Row],[trust_code]],trust_lookup[],4,0)</f>
        <v>Mental Health</v>
      </c>
    </row>
    <row r="469" spans="23:31" x14ac:dyDescent="0.35">
      <c r="W469" s="2" t="s">
        <v>164</v>
      </c>
      <c r="X469" s="2" t="s">
        <v>165</v>
      </c>
      <c r="Y469" s="2" t="s">
        <v>193</v>
      </c>
      <c r="Z469" s="2" t="s">
        <v>29</v>
      </c>
      <c r="AA469" s="23">
        <v>58</v>
      </c>
      <c r="AB469" s="23">
        <v>21</v>
      </c>
      <c r="AC469" s="2">
        <v>0.36206896551724099</v>
      </c>
      <c r="AD469" s="14" t="str">
        <f>VLOOKUP(flu_eth_ep[[#This Row],[trust_code]],trust_lookup[],3,0)</f>
        <v>SLAM</v>
      </c>
      <c r="AE469" s="14" t="str">
        <f>VLOOKUP(flu_eth_ep[[#This Row],[trust_code]],trust_lookup[],4,0)</f>
        <v>Mental Health</v>
      </c>
    </row>
    <row r="470" spans="23:31" x14ac:dyDescent="0.35">
      <c r="W470" s="2" t="s">
        <v>164</v>
      </c>
      <c r="X470" s="2" t="s">
        <v>165</v>
      </c>
      <c r="Y470" s="2" t="s">
        <v>193</v>
      </c>
      <c r="Z470" s="2" t="s">
        <v>82</v>
      </c>
      <c r="AA470" s="23">
        <v>35</v>
      </c>
      <c r="AB470" s="23">
        <v>9</v>
      </c>
      <c r="AC470" s="2">
        <v>0.25714285714285701</v>
      </c>
      <c r="AD470" s="14" t="str">
        <f>VLOOKUP(flu_eth_ep[[#This Row],[trust_code]],trust_lookup[],3,0)</f>
        <v>SLAM</v>
      </c>
      <c r="AE470" s="14" t="str">
        <f>VLOOKUP(flu_eth_ep[[#This Row],[trust_code]],trust_lookup[],4,0)</f>
        <v>Mental Health</v>
      </c>
    </row>
    <row r="471" spans="23:31" x14ac:dyDescent="0.35">
      <c r="W471" s="2" t="s">
        <v>164</v>
      </c>
      <c r="X471" s="2" t="s">
        <v>165</v>
      </c>
      <c r="Y471" s="2" t="s">
        <v>193</v>
      </c>
      <c r="Z471" s="2" t="s">
        <v>47</v>
      </c>
      <c r="AA471" s="23">
        <v>69</v>
      </c>
      <c r="AB471" s="23">
        <v>18</v>
      </c>
      <c r="AC471" s="2">
        <v>0.26086956521739102</v>
      </c>
      <c r="AD471" s="14" t="str">
        <f>VLOOKUP(flu_eth_ep[[#This Row],[trust_code]],trust_lookup[],3,0)</f>
        <v>SLAM</v>
      </c>
      <c r="AE471" s="14" t="str">
        <f>VLOOKUP(flu_eth_ep[[#This Row],[trust_code]],trust_lookup[],4,0)</f>
        <v>Mental Health</v>
      </c>
    </row>
    <row r="472" spans="23:31" x14ac:dyDescent="0.35">
      <c r="W472" s="2" t="s">
        <v>164</v>
      </c>
      <c r="X472" s="2" t="s">
        <v>165</v>
      </c>
      <c r="Y472" s="2" t="s">
        <v>193</v>
      </c>
      <c r="Z472" s="2" t="s">
        <v>36</v>
      </c>
      <c r="AA472" s="23">
        <v>4</v>
      </c>
      <c r="AB472" s="23">
        <v>1</v>
      </c>
      <c r="AC472" s="2">
        <v>0.25</v>
      </c>
      <c r="AD472" s="14" t="str">
        <f>VLOOKUP(flu_eth_ep[[#This Row],[trust_code]],trust_lookup[],3,0)</f>
        <v>SLAM</v>
      </c>
      <c r="AE472" s="14" t="str">
        <f>VLOOKUP(flu_eth_ep[[#This Row],[trust_code]],trust_lookup[],4,0)</f>
        <v>Mental Health</v>
      </c>
    </row>
    <row r="473" spans="23:31" x14ac:dyDescent="0.35">
      <c r="W473" s="2" t="s">
        <v>62</v>
      </c>
      <c r="X473" s="2" t="s">
        <v>63</v>
      </c>
      <c r="Y473" s="2" t="s">
        <v>194</v>
      </c>
      <c r="Z473" s="2" t="s">
        <v>106</v>
      </c>
      <c r="AA473" s="23">
        <v>35</v>
      </c>
      <c r="AB473" s="23">
        <v>21</v>
      </c>
      <c r="AC473" s="2">
        <v>0.6</v>
      </c>
      <c r="AD473" s="14" t="str">
        <f>VLOOKUP(flu_eth_ep[[#This Row],[trust_code]],trust_lookup[],3,0)</f>
        <v>Croydon</v>
      </c>
      <c r="AE473" s="14" t="str">
        <f>VLOOKUP(flu_eth_ep[[#This Row],[trust_code]],trust_lookup[],4,0)</f>
        <v>Acute &amp; Community</v>
      </c>
    </row>
    <row r="474" spans="23:31" x14ac:dyDescent="0.35">
      <c r="W474" s="2" t="s">
        <v>62</v>
      </c>
      <c r="X474" s="2" t="s">
        <v>63</v>
      </c>
      <c r="Y474" s="2" t="s">
        <v>194</v>
      </c>
      <c r="Z474" s="2" t="s">
        <v>123</v>
      </c>
      <c r="AA474" s="23">
        <v>516</v>
      </c>
      <c r="AB474" s="23">
        <v>236</v>
      </c>
      <c r="AC474" s="2">
        <v>0.45736434108527102</v>
      </c>
      <c r="AD474" s="14" t="str">
        <f>VLOOKUP(flu_eth_ep[[#This Row],[trust_code]],trust_lookup[],3,0)</f>
        <v>Croydon</v>
      </c>
      <c r="AE474" s="14" t="str">
        <f>VLOOKUP(flu_eth_ep[[#This Row],[trust_code]],trust_lookup[],4,0)</f>
        <v>Acute &amp; Community</v>
      </c>
    </row>
    <row r="475" spans="23:31" x14ac:dyDescent="0.35">
      <c r="W475" s="2" t="s">
        <v>62</v>
      </c>
      <c r="X475" s="2" t="s">
        <v>63</v>
      </c>
      <c r="Y475" s="2" t="s">
        <v>194</v>
      </c>
      <c r="Z475" s="2" t="s">
        <v>47</v>
      </c>
      <c r="AA475" s="23">
        <v>37</v>
      </c>
      <c r="AB475" s="23">
        <v>7</v>
      </c>
      <c r="AC475" s="2">
        <v>0.18918918918918901</v>
      </c>
      <c r="AD475" s="14" t="str">
        <f>VLOOKUP(flu_eth_ep[[#This Row],[trust_code]],trust_lookup[],3,0)</f>
        <v>Croydon</v>
      </c>
      <c r="AE475" s="14" t="str">
        <f>VLOOKUP(flu_eth_ep[[#This Row],[trust_code]],trust_lookup[],4,0)</f>
        <v>Acute &amp; Community</v>
      </c>
    </row>
    <row r="476" spans="23:31" x14ac:dyDescent="0.35">
      <c r="W476" s="2" t="s">
        <v>62</v>
      </c>
      <c r="X476" s="2" t="s">
        <v>63</v>
      </c>
      <c r="Y476" s="2" t="s">
        <v>194</v>
      </c>
      <c r="Z476" s="2" t="s">
        <v>54</v>
      </c>
      <c r="AA476" s="23">
        <v>229</v>
      </c>
      <c r="AB476" s="23">
        <v>100</v>
      </c>
      <c r="AC476" s="2">
        <v>0.43668122270742299</v>
      </c>
      <c r="AD476" s="14" t="str">
        <f>VLOOKUP(flu_eth_ep[[#This Row],[trust_code]],trust_lookup[],3,0)</f>
        <v>Croydon</v>
      </c>
      <c r="AE476" s="14" t="str">
        <f>VLOOKUP(flu_eth_ep[[#This Row],[trust_code]],trust_lookup[],4,0)</f>
        <v>Acute &amp; Community</v>
      </c>
    </row>
    <row r="477" spans="23:31" x14ac:dyDescent="0.35">
      <c r="W477" s="2" t="s">
        <v>62</v>
      </c>
      <c r="X477" s="2" t="s">
        <v>63</v>
      </c>
      <c r="Y477" s="2" t="s">
        <v>194</v>
      </c>
      <c r="Z477" s="2" t="s">
        <v>141</v>
      </c>
      <c r="AA477" s="23">
        <v>298</v>
      </c>
      <c r="AB477" s="23">
        <v>120</v>
      </c>
      <c r="AC477" s="2">
        <v>0.40268456375838901</v>
      </c>
      <c r="AD477" s="14" t="str">
        <f>VLOOKUP(flu_eth_ep[[#This Row],[trust_code]],trust_lookup[],3,0)</f>
        <v>Croydon</v>
      </c>
      <c r="AE477" s="14" t="str">
        <f>VLOOKUP(flu_eth_ep[[#This Row],[trust_code]],trust_lookup[],4,0)</f>
        <v>Acute &amp; Community</v>
      </c>
    </row>
    <row r="478" spans="23:31" x14ac:dyDescent="0.35">
      <c r="W478" s="2" t="s">
        <v>62</v>
      </c>
      <c r="X478" s="2" t="s">
        <v>63</v>
      </c>
      <c r="Y478" s="2" t="s">
        <v>194</v>
      </c>
      <c r="Z478" s="2" t="s">
        <v>129</v>
      </c>
      <c r="AA478" s="23">
        <v>28</v>
      </c>
      <c r="AB478" s="23">
        <v>4</v>
      </c>
      <c r="AC478" s="2">
        <v>0.14285714285714199</v>
      </c>
      <c r="AD478" s="14" t="str">
        <f>VLOOKUP(flu_eth_ep[[#This Row],[trust_code]],trust_lookup[],3,0)</f>
        <v>Croydon</v>
      </c>
      <c r="AE478" s="14" t="str">
        <f>VLOOKUP(flu_eth_ep[[#This Row],[trust_code]],trust_lookup[],4,0)</f>
        <v>Acute &amp; Community</v>
      </c>
    </row>
    <row r="479" spans="23:31" x14ac:dyDescent="0.35">
      <c r="W479" s="2" t="s">
        <v>62</v>
      </c>
      <c r="X479" s="2" t="s">
        <v>63</v>
      </c>
      <c r="Y479" s="2" t="s">
        <v>194</v>
      </c>
      <c r="Z479" s="2" t="s">
        <v>68</v>
      </c>
      <c r="AA479" s="23">
        <v>728</v>
      </c>
      <c r="AB479" s="23">
        <v>399</v>
      </c>
      <c r="AC479" s="2">
        <v>0.54807692307692302</v>
      </c>
      <c r="AD479" s="14" t="str">
        <f>VLOOKUP(flu_eth_ep[[#This Row],[trust_code]],trust_lookup[],3,0)</f>
        <v>Croydon</v>
      </c>
      <c r="AE479" s="14" t="str">
        <f>VLOOKUP(flu_eth_ep[[#This Row],[trust_code]],trust_lookup[],4,0)</f>
        <v>Acute &amp; Community</v>
      </c>
    </row>
    <row r="480" spans="23:31" x14ac:dyDescent="0.35">
      <c r="W480" s="2" t="s">
        <v>62</v>
      </c>
      <c r="X480" s="2" t="s">
        <v>63</v>
      </c>
      <c r="Y480" s="2" t="s">
        <v>194</v>
      </c>
      <c r="Z480" s="2" t="s">
        <v>135</v>
      </c>
      <c r="AA480" s="23">
        <v>31</v>
      </c>
      <c r="AB480" s="23">
        <v>21</v>
      </c>
      <c r="AC480" s="2">
        <v>0.67741935483870896</v>
      </c>
      <c r="AD480" s="14" t="str">
        <f>VLOOKUP(flu_eth_ep[[#This Row],[trust_code]],trust_lookup[],3,0)</f>
        <v>Croydon</v>
      </c>
      <c r="AE480" s="14" t="str">
        <f>VLOOKUP(flu_eth_ep[[#This Row],[trust_code]],trust_lookup[],4,0)</f>
        <v>Acute &amp; Community</v>
      </c>
    </row>
    <row r="481" spans="23:31" x14ac:dyDescent="0.35">
      <c r="W481" s="2" t="s">
        <v>62</v>
      </c>
      <c r="X481" s="2" t="s">
        <v>63</v>
      </c>
      <c r="Y481" s="2" t="s">
        <v>194</v>
      </c>
      <c r="Z481" s="2" t="s">
        <v>82</v>
      </c>
      <c r="AA481" s="23">
        <v>74</v>
      </c>
      <c r="AB481" s="23">
        <v>30</v>
      </c>
      <c r="AC481" s="2">
        <v>0.40540540540540498</v>
      </c>
      <c r="AD481" s="14" t="str">
        <f>VLOOKUP(flu_eth_ep[[#This Row],[trust_code]],trust_lookup[],3,0)</f>
        <v>Croydon</v>
      </c>
      <c r="AE481" s="14" t="str">
        <f>VLOOKUP(flu_eth_ep[[#This Row],[trust_code]],trust_lookup[],4,0)</f>
        <v>Acute &amp; Community</v>
      </c>
    </row>
    <row r="482" spans="23:31" x14ac:dyDescent="0.35">
      <c r="W482" s="2" t="s">
        <v>62</v>
      </c>
      <c r="X482" s="2" t="s">
        <v>63</v>
      </c>
      <c r="Y482" s="2" t="s">
        <v>194</v>
      </c>
      <c r="Z482" s="2" t="s">
        <v>94</v>
      </c>
      <c r="AA482" s="23">
        <v>24</v>
      </c>
      <c r="AB482" s="23">
        <v>10</v>
      </c>
      <c r="AC482" s="2">
        <v>0.41666666666666602</v>
      </c>
      <c r="AD482" s="14" t="str">
        <f>VLOOKUP(flu_eth_ep[[#This Row],[trust_code]],trust_lookup[],3,0)</f>
        <v>Croydon</v>
      </c>
      <c r="AE482" s="14" t="str">
        <f>VLOOKUP(flu_eth_ep[[#This Row],[trust_code]],trust_lookup[],4,0)</f>
        <v>Acute &amp; Community</v>
      </c>
    </row>
    <row r="483" spans="23:31" x14ac:dyDescent="0.35">
      <c r="W483" s="2" t="s">
        <v>62</v>
      </c>
      <c r="X483" s="2" t="s">
        <v>63</v>
      </c>
      <c r="Y483" s="2" t="s">
        <v>194</v>
      </c>
      <c r="Z483" s="2" t="s">
        <v>29</v>
      </c>
      <c r="AA483" s="23">
        <v>59</v>
      </c>
      <c r="AB483" s="23">
        <v>33</v>
      </c>
      <c r="AC483" s="2">
        <v>0.55932203389830504</v>
      </c>
      <c r="AD483" s="14" t="str">
        <f>VLOOKUP(flu_eth_ep[[#This Row],[trust_code]],trust_lookup[],3,0)</f>
        <v>Croydon</v>
      </c>
      <c r="AE483" s="14" t="str">
        <f>VLOOKUP(flu_eth_ep[[#This Row],[trust_code]],trust_lookup[],4,0)</f>
        <v>Acute &amp; Community</v>
      </c>
    </row>
    <row r="484" spans="23:31" x14ac:dyDescent="0.35">
      <c r="W484" s="2" t="s">
        <v>62</v>
      </c>
      <c r="X484" s="2" t="s">
        <v>63</v>
      </c>
      <c r="Y484" s="2" t="s">
        <v>194</v>
      </c>
      <c r="Z484" s="2" t="s">
        <v>88</v>
      </c>
      <c r="AA484" s="23">
        <v>22</v>
      </c>
      <c r="AB484" s="23">
        <v>8</v>
      </c>
      <c r="AC484" s="2">
        <v>0.36363636363636298</v>
      </c>
      <c r="AD484" s="14" t="str">
        <f>VLOOKUP(flu_eth_ep[[#This Row],[trust_code]],trust_lookup[],3,0)</f>
        <v>Croydon</v>
      </c>
      <c r="AE484" s="14" t="str">
        <f>VLOOKUP(flu_eth_ep[[#This Row],[trust_code]],trust_lookup[],4,0)</f>
        <v>Acute &amp; Community</v>
      </c>
    </row>
    <row r="485" spans="23:31" x14ac:dyDescent="0.35">
      <c r="W485" s="2" t="s">
        <v>62</v>
      </c>
      <c r="X485" s="2" t="s">
        <v>63</v>
      </c>
      <c r="Y485" s="2" t="s">
        <v>194</v>
      </c>
      <c r="Z485" s="2" t="s">
        <v>100</v>
      </c>
      <c r="AA485" s="23">
        <v>523</v>
      </c>
      <c r="AB485" s="23">
        <v>154</v>
      </c>
      <c r="AC485" s="2">
        <v>0.294455066921606</v>
      </c>
      <c r="AD485" s="14" t="str">
        <f>VLOOKUP(flu_eth_ep[[#This Row],[trust_code]],trust_lookup[],3,0)</f>
        <v>Croydon</v>
      </c>
      <c r="AE485" s="14" t="str">
        <f>VLOOKUP(flu_eth_ep[[#This Row],[trust_code]],trust_lookup[],4,0)</f>
        <v>Acute &amp; Community</v>
      </c>
    </row>
    <row r="486" spans="23:31" x14ac:dyDescent="0.35">
      <c r="W486" s="2" t="s">
        <v>62</v>
      </c>
      <c r="X486" s="2" t="s">
        <v>63</v>
      </c>
      <c r="Y486" s="2" t="s">
        <v>194</v>
      </c>
      <c r="Z486" s="2" t="s">
        <v>36</v>
      </c>
      <c r="AA486" s="23">
        <v>4</v>
      </c>
      <c r="AB486" s="23">
        <v>2</v>
      </c>
      <c r="AC486" s="2">
        <v>0.5</v>
      </c>
      <c r="AD486" s="14" t="str">
        <f>VLOOKUP(flu_eth_ep[[#This Row],[trust_code]],trust_lookup[],3,0)</f>
        <v>Croydon</v>
      </c>
      <c r="AE486" s="14" t="str">
        <f>VLOOKUP(flu_eth_ep[[#This Row],[trust_code]],trust_lookup[],4,0)</f>
        <v>Acute &amp; Community</v>
      </c>
    </row>
    <row r="487" spans="23:31" x14ac:dyDescent="0.35">
      <c r="W487" s="2" t="s">
        <v>62</v>
      </c>
      <c r="X487" s="2" t="s">
        <v>63</v>
      </c>
      <c r="Y487" s="2" t="s">
        <v>194</v>
      </c>
      <c r="Z487" s="2" t="s">
        <v>75</v>
      </c>
      <c r="AA487" s="23">
        <v>171</v>
      </c>
      <c r="AB487" s="23">
        <v>40</v>
      </c>
      <c r="AC487" s="2">
        <v>0.23391812865497</v>
      </c>
      <c r="AD487" s="14" t="str">
        <f>VLOOKUP(flu_eth_ep[[#This Row],[trust_code]],trust_lookup[],3,0)</f>
        <v>Croydon</v>
      </c>
      <c r="AE487" s="14" t="str">
        <f>VLOOKUP(flu_eth_ep[[#This Row],[trust_code]],trust_lookup[],4,0)</f>
        <v>Acute &amp; Community</v>
      </c>
    </row>
    <row r="488" spans="23:31" x14ac:dyDescent="0.35">
      <c r="W488" s="2" t="s">
        <v>62</v>
      </c>
      <c r="X488" s="2" t="s">
        <v>63</v>
      </c>
      <c r="Y488" s="2" t="s">
        <v>194</v>
      </c>
      <c r="Z488" s="2" t="s">
        <v>36</v>
      </c>
      <c r="AA488" s="23">
        <v>172</v>
      </c>
      <c r="AB488" s="23">
        <v>65</v>
      </c>
      <c r="AC488" s="2">
        <v>0.377906976744186</v>
      </c>
      <c r="AD488" s="14" t="str">
        <f>VLOOKUP(flu_eth_ep[[#This Row],[trust_code]],trust_lookup[],3,0)</f>
        <v>Croydon</v>
      </c>
      <c r="AE488" s="14" t="str">
        <f>VLOOKUP(flu_eth_ep[[#This Row],[trust_code]],trust_lookup[],4,0)</f>
        <v>Acute &amp; Community</v>
      </c>
    </row>
    <row r="489" spans="23:31" x14ac:dyDescent="0.35">
      <c r="W489" s="2" t="s">
        <v>62</v>
      </c>
      <c r="X489" s="2" t="s">
        <v>63</v>
      </c>
      <c r="Y489" s="2" t="s">
        <v>194</v>
      </c>
      <c r="Z489" s="2" t="s">
        <v>61</v>
      </c>
      <c r="AA489" s="23">
        <v>222</v>
      </c>
      <c r="AB489" s="23">
        <v>34</v>
      </c>
      <c r="AC489" s="2">
        <v>0.153153153153153</v>
      </c>
      <c r="AD489" s="14" t="str">
        <f>VLOOKUP(flu_eth_ep[[#This Row],[trust_code]],trust_lookup[],3,0)</f>
        <v>Croydon</v>
      </c>
      <c r="AE489" s="14" t="str">
        <f>VLOOKUP(flu_eth_ep[[#This Row],[trust_code]],trust_lookup[],4,0)</f>
        <v>Acute &amp; Community</v>
      </c>
    </row>
    <row r="490" spans="23:31" x14ac:dyDescent="0.35">
      <c r="W490" s="2" t="s">
        <v>62</v>
      </c>
      <c r="X490" s="2" t="s">
        <v>63</v>
      </c>
      <c r="Y490" s="2" t="s">
        <v>194</v>
      </c>
      <c r="Z490" s="2" t="s">
        <v>112</v>
      </c>
      <c r="AA490" s="23">
        <v>172</v>
      </c>
      <c r="AB490" s="23">
        <v>66</v>
      </c>
      <c r="AC490" s="2">
        <v>0.38372093023255799</v>
      </c>
      <c r="AD490" s="14" t="str">
        <f>VLOOKUP(flu_eth_ep[[#This Row],[trust_code]],trust_lookup[],3,0)</f>
        <v>Croydon</v>
      </c>
      <c r="AE490" s="14" t="str">
        <f>VLOOKUP(flu_eth_ep[[#This Row],[trust_code]],trust_lookup[],4,0)</f>
        <v>Acute &amp; Community</v>
      </c>
    </row>
    <row r="491" spans="23:31" x14ac:dyDescent="0.35">
      <c r="W491" s="2" t="s">
        <v>76</v>
      </c>
      <c r="X491" s="2" t="s">
        <v>77</v>
      </c>
      <c r="Y491" s="2" t="s">
        <v>194</v>
      </c>
      <c r="Z491" s="2" t="s">
        <v>61</v>
      </c>
      <c r="AA491" s="23">
        <v>116</v>
      </c>
      <c r="AB491" s="23">
        <v>26</v>
      </c>
      <c r="AC491" s="2">
        <v>0.22413793103448201</v>
      </c>
      <c r="AD491" s="14" t="str">
        <f>VLOOKUP(flu_eth_ep[[#This Row],[trust_code]],trust_lookup[],3,0)</f>
        <v>Epsom</v>
      </c>
      <c r="AE491" s="14" t="str">
        <f>VLOOKUP(flu_eth_ep[[#This Row],[trust_code]],trust_lookup[],4,0)</f>
        <v>Acute</v>
      </c>
    </row>
    <row r="492" spans="23:31" x14ac:dyDescent="0.35">
      <c r="W492" s="2" t="s">
        <v>76</v>
      </c>
      <c r="X492" s="2" t="s">
        <v>77</v>
      </c>
      <c r="Y492" s="2" t="s">
        <v>194</v>
      </c>
      <c r="Z492" s="2" t="s">
        <v>68</v>
      </c>
      <c r="AA492" s="23">
        <v>1993</v>
      </c>
      <c r="AB492" s="23">
        <v>1084</v>
      </c>
      <c r="AC492" s="2">
        <v>0.54390366281986902</v>
      </c>
      <c r="AD492" s="14" t="str">
        <f>VLOOKUP(flu_eth_ep[[#This Row],[trust_code]],trust_lookup[],3,0)</f>
        <v>Epsom</v>
      </c>
      <c r="AE492" s="14" t="str">
        <f>VLOOKUP(flu_eth_ep[[#This Row],[trust_code]],trust_lookup[],4,0)</f>
        <v>Acute</v>
      </c>
    </row>
    <row r="493" spans="23:31" x14ac:dyDescent="0.35">
      <c r="W493" s="2" t="s">
        <v>76</v>
      </c>
      <c r="X493" s="2" t="s">
        <v>77</v>
      </c>
      <c r="Y493" s="2" t="s">
        <v>194</v>
      </c>
      <c r="Z493" s="2" t="s">
        <v>94</v>
      </c>
      <c r="AA493" s="23">
        <v>39</v>
      </c>
      <c r="AB493" s="23">
        <v>24</v>
      </c>
      <c r="AC493" s="2">
        <v>0.61538461538461497</v>
      </c>
      <c r="AD493" s="14" t="str">
        <f>VLOOKUP(flu_eth_ep[[#This Row],[trust_code]],trust_lookup[],3,0)</f>
        <v>Epsom</v>
      </c>
      <c r="AE493" s="14" t="str">
        <f>VLOOKUP(flu_eth_ep[[#This Row],[trust_code]],trust_lookup[],4,0)</f>
        <v>Acute</v>
      </c>
    </row>
    <row r="494" spans="23:31" x14ac:dyDescent="0.35">
      <c r="W494" s="2" t="s">
        <v>76</v>
      </c>
      <c r="X494" s="2" t="s">
        <v>77</v>
      </c>
      <c r="Y494" s="2" t="s">
        <v>194</v>
      </c>
      <c r="Z494" s="2" t="s">
        <v>123</v>
      </c>
      <c r="AA494" s="23">
        <v>590</v>
      </c>
      <c r="AB494" s="23">
        <v>267</v>
      </c>
      <c r="AC494" s="2">
        <v>0.45254237288135502</v>
      </c>
      <c r="AD494" s="14" t="str">
        <f>VLOOKUP(flu_eth_ep[[#This Row],[trust_code]],trust_lookup[],3,0)</f>
        <v>Epsom</v>
      </c>
      <c r="AE494" s="14" t="str">
        <f>VLOOKUP(flu_eth_ep[[#This Row],[trust_code]],trust_lookup[],4,0)</f>
        <v>Acute</v>
      </c>
    </row>
    <row r="495" spans="23:31" x14ac:dyDescent="0.35">
      <c r="W495" s="2" t="s">
        <v>76</v>
      </c>
      <c r="X495" s="2" t="s">
        <v>77</v>
      </c>
      <c r="Y495" s="2" t="s">
        <v>194</v>
      </c>
      <c r="Z495" s="2" t="s">
        <v>36</v>
      </c>
      <c r="AA495" s="23">
        <v>4</v>
      </c>
      <c r="AB495" s="23">
        <v>1</v>
      </c>
      <c r="AC495" s="2">
        <v>0.25</v>
      </c>
      <c r="AD495" s="14" t="str">
        <f>VLOOKUP(flu_eth_ep[[#This Row],[trust_code]],trust_lookup[],3,0)</f>
        <v>Epsom</v>
      </c>
      <c r="AE495" s="14" t="str">
        <f>VLOOKUP(flu_eth_ep[[#This Row],[trust_code]],trust_lookup[],4,0)</f>
        <v>Acute</v>
      </c>
    </row>
    <row r="496" spans="23:31" x14ac:dyDescent="0.35">
      <c r="W496" s="2" t="s">
        <v>76</v>
      </c>
      <c r="X496" s="2" t="s">
        <v>77</v>
      </c>
      <c r="Y496" s="2" t="s">
        <v>194</v>
      </c>
      <c r="Z496" s="2" t="s">
        <v>47</v>
      </c>
      <c r="AA496" s="23">
        <v>63</v>
      </c>
      <c r="AB496" s="23">
        <v>16</v>
      </c>
      <c r="AC496" s="2">
        <v>0.25396825396825301</v>
      </c>
      <c r="AD496" s="14" t="str">
        <f>VLOOKUP(flu_eth_ep[[#This Row],[trust_code]],trust_lookup[],3,0)</f>
        <v>Epsom</v>
      </c>
      <c r="AE496" s="14" t="str">
        <f>VLOOKUP(flu_eth_ep[[#This Row],[trust_code]],trust_lookup[],4,0)</f>
        <v>Acute</v>
      </c>
    </row>
    <row r="497" spans="23:31" x14ac:dyDescent="0.35">
      <c r="W497" s="2" t="s">
        <v>76</v>
      </c>
      <c r="X497" s="2" t="s">
        <v>77</v>
      </c>
      <c r="Y497" s="2" t="s">
        <v>194</v>
      </c>
      <c r="Z497" s="2" t="s">
        <v>129</v>
      </c>
      <c r="AA497" s="23">
        <v>32</v>
      </c>
      <c r="AB497" s="23">
        <v>11</v>
      </c>
      <c r="AC497" s="2">
        <v>0.34375</v>
      </c>
      <c r="AD497" s="14" t="str">
        <f>VLOOKUP(flu_eth_ep[[#This Row],[trust_code]],trust_lookup[],3,0)</f>
        <v>Epsom</v>
      </c>
      <c r="AE497" s="14" t="str">
        <f>VLOOKUP(flu_eth_ep[[#This Row],[trust_code]],trust_lookup[],4,0)</f>
        <v>Acute</v>
      </c>
    </row>
    <row r="498" spans="23:31" x14ac:dyDescent="0.35">
      <c r="W498" s="2" t="s">
        <v>76</v>
      </c>
      <c r="X498" s="2" t="s">
        <v>77</v>
      </c>
      <c r="Y498" s="2" t="s">
        <v>194</v>
      </c>
      <c r="Z498" s="2" t="s">
        <v>106</v>
      </c>
      <c r="AA498" s="23">
        <v>78</v>
      </c>
      <c r="AB498" s="23">
        <v>30</v>
      </c>
      <c r="AC498" s="2">
        <v>0.38461538461538403</v>
      </c>
      <c r="AD498" s="14" t="str">
        <f>VLOOKUP(flu_eth_ep[[#This Row],[trust_code]],trust_lookup[],3,0)</f>
        <v>Epsom</v>
      </c>
      <c r="AE498" s="14" t="str">
        <f>VLOOKUP(flu_eth_ep[[#This Row],[trust_code]],trust_lookup[],4,0)</f>
        <v>Acute</v>
      </c>
    </row>
    <row r="499" spans="23:31" x14ac:dyDescent="0.35">
      <c r="W499" s="2" t="s">
        <v>76</v>
      </c>
      <c r="X499" s="2" t="s">
        <v>77</v>
      </c>
      <c r="Y499" s="2" t="s">
        <v>194</v>
      </c>
      <c r="Z499" s="2" t="s">
        <v>54</v>
      </c>
      <c r="AA499" s="23">
        <v>483</v>
      </c>
      <c r="AB499" s="23">
        <v>187</v>
      </c>
      <c r="AC499" s="2">
        <v>0.38716356107660399</v>
      </c>
      <c r="AD499" s="14" t="str">
        <f>VLOOKUP(flu_eth_ep[[#This Row],[trust_code]],trust_lookup[],3,0)</f>
        <v>Epsom</v>
      </c>
      <c r="AE499" s="14" t="str">
        <f>VLOOKUP(flu_eth_ep[[#This Row],[trust_code]],trust_lookup[],4,0)</f>
        <v>Acute</v>
      </c>
    </row>
    <row r="500" spans="23:31" x14ac:dyDescent="0.35">
      <c r="W500" s="2" t="s">
        <v>76</v>
      </c>
      <c r="X500" s="2" t="s">
        <v>77</v>
      </c>
      <c r="Y500" s="2" t="s">
        <v>194</v>
      </c>
      <c r="Z500" s="2" t="s">
        <v>29</v>
      </c>
      <c r="AA500" s="23">
        <v>81</v>
      </c>
      <c r="AB500" s="23">
        <v>26</v>
      </c>
      <c r="AC500" s="2">
        <v>0.32098765432098703</v>
      </c>
      <c r="AD500" s="14" t="str">
        <f>VLOOKUP(flu_eth_ep[[#This Row],[trust_code]],trust_lookup[],3,0)</f>
        <v>Epsom</v>
      </c>
      <c r="AE500" s="14" t="str">
        <f>VLOOKUP(flu_eth_ep[[#This Row],[trust_code]],trust_lookup[],4,0)</f>
        <v>Acute</v>
      </c>
    </row>
    <row r="501" spans="23:31" x14ac:dyDescent="0.35">
      <c r="W501" s="2" t="s">
        <v>76</v>
      </c>
      <c r="X501" s="2" t="s">
        <v>77</v>
      </c>
      <c r="Y501" s="2" t="s">
        <v>194</v>
      </c>
      <c r="Z501" s="2" t="s">
        <v>82</v>
      </c>
      <c r="AA501" s="23">
        <v>126</v>
      </c>
      <c r="AB501" s="23">
        <v>49</v>
      </c>
      <c r="AC501" s="2">
        <v>0.38888888888888801</v>
      </c>
      <c r="AD501" s="14" t="str">
        <f>VLOOKUP(flu_eth_ep[[#This Row],[trust_code]],trust_lookup[],3,0)</f>
        <v>Epsom</v>
      </c>
      <c r="AE501" s="14" t="str">
        <f>VLOOKUP(flu_eth_ep[[#This Row],[trust_code]],trust_lookup[],4,0)</f>
        <v>Acute</v>
      </c>
    </row>
    <row r="502" spans="23:31" x14ac:dyDescent="0.35">
      <c r="W502" s="2" t="s">
        <v>76</v>
      </c>
      <c r="X502" s="2" t="s">
        <v>77</v>
      </c>
      <c r="Y502" s="2" t="s">
        <v>194</v>
      </c>
      <c r="Z502" s="2" t="s">
        <v>100</v>
      </c>
      <c r="AA502" s="23">
        <v>745</v>
      </c>
      <c r="AB502" s="23">
        <v>220</v>
      </c>
      <c r="AC502" s="2">
        <v>0.29530201342281798</v>
      </c>
      <c r="AD502" s="14" t="str">
        <f>VLOOKUP(flu_eth_ep[[#This Row],[trust_code]],trust_lookup[],3,0)</f>
        <v>Epsom</v>
      </c>
      <c r="AE502" s="14" t="str">
        <f>VLOOKUP(flu_eth_ep[[#This Row],[trust_code]],trust_lookup[],4,0)</f>
        <v>Acute</v>
      </c>
    </row>
    <row r="503" spans="23:31" x14ac:dyDescent="0.35">
      <c r="W503" s="2" t="s">
        <v>76</v>
      </c>
      <c r="X503" s="2" t="s">
        <v>77</v>
      </c>
      <c r="Y503" s="2" t="s">
        <v>194</v>
      </c>
      <c r="Z503" s="2" t="s">
        <v>135</v>
      </c>
      <c r="AA503" s="23">
        <v>65</v>
      </c>
      <c r="AB503" s="23">
        <v>38</v>
      </c>
      <c r="AC503" s="2">
        <v>0.58461538461538398</v>
      </c>
      <c r="AD503" s="14" t="str">
        <f>VLOOKUP(flu_eth_ep[[#This Row],[trust_code]],trust_lookup[],3,0)</f>
        <v>Epsom</v>
      </c>
      <c r="AE503" s="14" t="str">
        <f>VLOOKUP(flu_eth_ep[[#This Row],[trust_code]],trust_lookup[],4,0)</f>
        <v>Acute</v>
      </c>
    </row>
    <row r="504" spans="23:31" x14ac:dyDescent="0.35">
      <c r="W504" s="2" t="s">
        <v>76</v>
      </c>
      <c r="X504" s="2" t="s">
        <v>77</v>
      </c>
      <c r="Y504" s="2" t="s">
        <v>194</v>
      </c>
      <c r="Z504" s="2" t="s">
        <v>36</v>
      </c>
      <c r="AA504" s="23">
        <v>292</v>
      </c>
      <c r="AB504" s="23">
        <v>127</v>
      </c>
      <c r="AC504" s="2">
        <v>0.43493150684931497</v>
      </c>
      <c r="AD504" s="14" t="str">
        <f>VLOOKUP(flu_eth_ep[[#This Row],[trust_code]],trust_lookup[],3,0)</f>
        <v>Epsom</v>
      </c>
      <c r="AE504" s="14" t="str">
        <f>VLOOKUP(flu_eth_ep[[#This Row],[trust_code]],trust_lookup[],4,0)</f>
        <v>Acute</v>
      </c>
    </row>
    <row r="505" spans="23:31" x14ac:dyDescent="0.35">
      <c r="W505" s="2" t="s">
        <v>76</v>
      </c>
      <c r="X505" s="2" t="s">
        <v>77</v>
      </c>
      <c r="Y505" s="2" t="s">
        <v>194</v>
      </c>
      <c r="Z505" s="2" t="s">
        <v>141</v>
      </c>
      <c r="AA505" s="23">
        <v>700</v>
      </c>
      <c r="AB505" s="23">
        <v>322</v>
      </c>
      <c r="AC505" s="2">
        <v>0.46</v>
      </c>
      <c r="AD505" s="14" t="str">
        <f>VLOOKUP(flu_eth_ep[[#This Row],[trust_code]],trust_lookup[],3,0)</f>
        <v>Epsom</v>
      </c>
      <c r="AE505" s="14" t="str">
        <f>VLOOKUP(flu_eth_ep[[#This Row],[trust_code]],trust_lookup[],4,0)</f>
        <v>Acute</v>
      </c>
    </row>
    <row r="506" spans="23:31" x14ac:dyDescent="0.35">
      <c r="W506" s="2" t="s">
        <v>76</v>
      </c>
      <c r="X506" s="2" t="s">
        <v>77</v>
      </c>
      <c r="Y506" s="2" t="s">
        <v>194</v>
      </c>
      <c r="Z506" s="2" t="s">
        <v>88</v>
      </c>
      <c r="AA506" s="23">
        <v>35</v>
      </c>
      <c r="AB506" s="23">
        <v>13</v>
      </c>
      <c r="AC506" s="2">
        <v>0.371428571428571</v>
      </c>
      <c r="AD506" s="14" t="str">
        <f>VLOOKUP(flu_eth_ep[[#This Row],[trust_code]],trust_lookup[],3,0)</f>
        <v>Epsom</v>
      </c>
      <c r="AE506" s="14" t="str">
        <f>VLOOKUP(flu_eth_ep[[#This Row],[trust_code]],trust_lookup[],4,0)</f>
        <v>Acute</v>
      </c>
    </row>
    <row r="507" spans="23:31" x14ac:dyDescent="0.35">
      <c r="W507" s="2" t="s">
        <v>76</v>
      </c>
      <c r="X507" s="2" t="s">
        <v>77</v>
      </c>
      <c r="Y507" s="2" t="s">
        <v>194</v>
      </c>
      <c r="Z507" s="2" t="s">
        <v>112</v>
      </c>
      <c r="AA507" s="23">
        <v>317</v>
      </c>
      <c r="AB507" s="23">
        <v>150</v>
      </c>
      <c r="AC507" s="2">
        <v>0.47318611987381698</v>
      </c>
      <c r="AD507" s="14" t="str">
        <f>VLOOKUP(flu_eth_ep[[#This Row],[trust_code]],trust_lookup[],3,0)</f>
        <v>Epsom</v>
      </c>
      <c r="AE507" s="14" t="str">
        <f>VLOOKUP(flu_eth_ep[[#This Row],[trust_code]],trust_lookup[],4,0)</f>
        <v>Acute</v>
      </c>
    </row>
    <row r="508" spans="23:31" x14ac:dyDescent="0.35">
      <c r="W508" s="2" t="s">
        <v>76</v>
      </c>
      <c r="X508" s="2" t="s">
        <v>77</v>
      </c>
      <c r="Y508" s="2" t="s">
        <v>194</v>
      </c>
      <c r="Z508" s="2" t="s">
        <v>75</v>
      </c>
      <c r="AA508" s="23">
        <v>175</v>
      </c>
      <c r="AB508" s="23">
        <v>58</v>
      </c>
      <c r="AC508" s="2">
        <v>0.33142857142857102</v>
      </c>
      <c r="AD508" s="14" t="str">
        <f>VLOOKUP(flu_eth_ep[[#This Row],[trust_code]],trust_lookup[],3,0)</f>
        <v>Epsom</v>
      </c>
      <c r="AE508" s="14" t="str">
        <f>VLOOKUP(flu_eth_ep[[#This Row],[trust_code]],trust_lookup[],4,0)</f>
        <v>Acute</v>
      </c>
    </row>
    <row r="509" spans="23:31" x14ac:dyDescent="0.35">
      <c r="W509" s="2" t="s">
        <v>113</v>
      </c>
      <c r="X509" s="2" t="s">
        <v>114</v>
      </c>
      <c r="Y509" s="2" t="s">
        <v>194</v>
      </c>
      <c r="Z509" s="2" t="s">
        <v>47</v>
      </c>
      <c r="AA509" s="23">
        <v>31</v>
      </c>
      <c r="AB509" s="23">
        <v>13</v>
      </c>
      <c r="AC509" s="2">
        <v>0.41935483870967699</v>
      </c>
      <c r="AD509" s="14" t="str">
        <f>VLOOKUP(flu_eth_ep[[#This Row],[trust_code]],trust_lookup[],3,0)</f>
        <v>K&amp;R FT</v>
      </c>
      <c r="AE509" s="14" t="str">
        <f>VLOOKUP(flu_eth_ep[[#This Row],[trust_code]],trust_lookup[],4,0)</f>
        <v>Acute &amp; Community</v>
      </c>
    </row>
    <row r="510" spans="23:31" x14ac:dyDescent="0.35">
      <c r="W510" s="2" t="s">
        <v>113</v>
      </c>
      <c r="X510" s="2" t="s">
        <v>114</v>
      </c>
      <c r="Y510" s="2" t="s">
        <v>194</v>
      </c>
      <c r="Z510" s="2" t="s">
        <v>112</v>
      </c>
      <c r="AA510" s="23">
        <v>318</v>
      </c>
      <c r="AB510" s="23">
        <v>139</v>
      </c>
      <c r="AC510" s="2">
        <v>0.437106918238993</v>
      </c>
      <c r="AD510" s="14" t="str">
        <f>VLOOKUP(flu_eth_ep[[#This Row],[trust_code]],trust_lookup[],3,0)</f>
        <v>K&amp;R FT</v>
      </c>
      <c r="AE510" s="14" t="str">
        <f>VLOOKUP(flu_eth_ep[[#This Row],[trust_code]],trust_lookup[],4,0)</f>
        <v>Acute &amp; Community</v>
      </c>
    </row>
    <row r="511" spans="23:31" x14ac:dyDescent="0.35">
      <c r="W511" s="2" t="s">
        <v>113</v>
      </c>
      <c r="X511" s="2" t="s">
        <v>114</v>
      </c>
      <c r="Y511" s="2" t="s">
        <v>194</v>
      </c>
      <c r="Z511" s="2" t="s">
        <v>36</v>
      </c>
      <c r="AA511" s="23">
        <v>5</v>
      </c>
      <c r="AB511" s="23">
        <v>1</v>
      </c>
      <c r="AC511" s="2">
        <v>0.2</v>
      </c>
      <c r="AD511" s="14" t="str">
        <f>VLOOKUP(flu_eth_ep[[#This Row],[trust_code]],trust_lookup[],3,0)</f>
        <v>K&amp;R FT</v>
      </c>
      <c r="AE511" s="14" t="str">
        <f>VLOOKUP(flu_eth_ep[[#This Row],[trust_code]],trust_lookup[],4,0)</f>
        <v>Acute &amp; Community</v>
      </c>
    </row>
    <row r="512" spans="23:31" x14ac:dyDescent="0.35">
      <c r="W512" s="2" t="s">
        <v>113</v>
      </c>
      <c r="X512" s="2" t="s">
        <v>114</v>
      </c>
      <c r="Y512" s="2" t="s">
        <v>194</v>
      </c>
      <c r="Z512" s="2" t="s">
        <v>88</v>
      </c>
      <c r="AA512" s="23">
        <v>21</v>
      </c>
      <c r="AB512" s="23">
        <v>12</v>
      </c>
      <c r="AC512" s="2">
        <v>0.57142857142857095</v>
      </c>
      <c r="AD512" s="14" t="str">
        <f>VLOOKUP(flu_eth_ep[[#This Row],[trust_code]],trust_lookup[],3,0)</f>
        <v>K&amp;R FT</v>
      </c>
      <c r="AE512" s="14" t="str">
        <f>VLOOKUP(flu_eth_ep[[#This Row],[trust_code]],trust_lookup[],4,0)</f>
        <v>Acute &amp; Community</v>
      </c>
    </row>
    <row r="513" spans="23:31" x14ac:dyDescent="0.35">
      <c r="W513" s="2" t="s">
        <v>113</v>
      </c>
      <c r="X513" s="2" t="s">
        <v>114</v>
      </c>
      <c r="Y513" s="2" t="s">
        <v>194</v>
      </c>
      <c r="Z513" s="2" t="s">
        <v>141</v>
      </c>
      <c r="AA513" s="23">
        <v>462</v>
      </c>
      <c r="AB513" s="23">
        <v>220</v>
      </c>
      <c r="AC513" s="2">
        <v>0.476190476190476</v>
      </c>
      <c r="AD513" s="14" t="str">
        <f>VLOOKUP(flu_eth_ep[[#This Row],[trust_code]],trust_lookup[],3,0)</f>
        <v>K&amp;R FT</v>
      </c>
      <c r="AE513" s="14" t="str">
        <f>VLOOKUP(flu_eth_ep[[#This Row],[trust_code]],trust_lookup[],4,0)</f>
        <v>Acute &amp; Community</v>
      </c>
    </row>
    <row r="514" spans="23:31" x14ac:dyDescent="0.35">
      <c r="W514" s="2" t="s">
        <v>113</v>
      </c>
      <c r="X514" s="2" t="s">
        <v>114</v>
      </c>
      <c r="Y514" s="2" t="s">
        <v>194</v>
      </c>
      <c r="Z514" s="2" t="s">
        <v>135</v>
      </c>
      <c r="AA514" s="23">
        <v>55</v>
      </c>
      <c r="AB514" s="23">
        <v>28</v>
      </c>
      <c r="AC514" s="2">
        <v>0.50909090909090904</v>
      </c>
      <c r="AD514" s="14" t="str">
        <f>VLOOKUP(flu_eth_ep[[#This Row],[trust_code]],trust_lookup[],3,0)</f>
        <v>K&amp;R FT</v>
      </c>
      <c r="AE514" s="14" t="str">
        <f>VLOOKUP(flu_eth_ep[[#This Row],[trust_code]],trust_lookup[],4,0)</f>
        <v>Acute &amp; Community</v>
      </c>
    </row>
    <row r="515" spans="23:31" x14ac:dyDescent="0.35">
      <c r="W515" s="2" t="s">
        <v>113</v>
      </c>
      <c r="X515" s="2" t="s">
        <v>114</v>
      </c>
      <c r="Y515" s="2" t="s">
        <v>194</v>
      </c>
      <c r="Z515" s="2" t="s">
        <v>94</v>
      </c>
      <c r="AA515" s="23">
        <v>28</v>
      </c>
      <c r="AB515" s="23">
        <v>13</v>
      </c>
      <c r="AC515" s="2">
        <v>0.46428571428571402</v>
      </c>
      <c r="AD515" s="14" t="str">
        <f>VLOOKUP(flu_eth_ep[[#This Row],[trust_code]],trust_lookup[],3,0)</f>
        <v>K&amp;R FT</v>
      </c>
      <c r="AE515" s="14" t="str">
        <f>VLOOKUP(flu_eth_ep[[#This Row],[trust_code]],trust_lookup[],4,0)</f>
        <v>Acute &amp; Community</v>
      </c>
    </row>
    <row r="516" spans="23:31" x14ac:dyDescent="0.35">
      <c r="W516" s="2" t="s">
        <v>113</v>
      </c>
      <c r="X516" s="2" t="s">
        <v>114</v>
      </c>
      <c r="Y516" s="2" t="s">
        <v>194</v>
      </c>
      <c r="Z516" s="2" t="s">
        <v>106</v>
      </c>
      <c r="AA516" s="23">
        <v>44</v>
      </c>
      <c r="AB516" s="23">
        <v>29</v>
      </c>
      <c r="AC516" s="2">
        <v>0.65909090909090895</v>
      </c>
      <c r="AD516" s="14" t="str">
        <f>VLOOKUP(flu_eth_ep[[#This Row],[trust_code]],trust_lookup[],3,0)</f>
        <v>K&amp;R FT</v>
      </c>
      <c r="AE516" s="14" t="str">
        <f>VLOOKUP(flu_eth_ep[[#This Row],[trust_code]],trust_lookup[],4,0)</f>
        <v>Acute &amp; Community</v>
      </c>
    </row>
    <row r="517" spans="23:31" x14ac:dyDescent="0.35">
      <c r="W517" s="2" t="s">
        <v>113</v>
      </c>
      <c r="X517" s="2" t="s">
        <v>114</v>
      </c>
      <c r="Y517" s="2" t="s">
        <v>194</v>
      </c>
      <c r="Z517" s="2" t="s">
        <v>68</v>
      </c>
      <c r="AA517" s="23">
        <v>1364</v>
      </c>
      <c r="AB517" s="23">
        <v>772</v>
      </c>
      <c r="AC517" s="2">
        <v>0.56598240469208205</v>
      </c>
      <c r="AD517" s="14" t="str">
        <f>VLOOKUP(flu_eth_ep[[#This Row],[trust_code]],trust_lookup[],3,0)</f>
        <v>K&amp;R FT</v>
      </c>
      <c r="AE517" s="14" t="str">
        <f>VLOOKUP(flu_eth_ep[[#This Row],[trust_code]],trust_lookup[],4,0)</f>
        <v>Acute &amp; Community</v>
      </c>
    </row>
    <row r="518" spans="23:31" x14ac:dyDescent="0.35">
      <c r="W518" s="2" t="s">
        <v>113</v>
      </c>
      <c r="X518" s="2" t="s">
        <v>114</v>
      </c>
      <c r="Y518" s="2" t="s">
        <v>194</v>
      </c>
      <c r="Z518" s="2" t="s">
        <v>54</v>
      </c>
      <c r="AA518" s="23">
        <v>402</v>
      </c>
      <c r="AB518" s="23">
        <v>169</v>
      </c>
      <c r="AC518" s="2">
        <v>0.42039800995024801</v>
      </c>
      <c r="AD518" s="14" t="str">
        <f>VLOOKUP(flu_eth_ep[[#This Row],[trust_code]],trust_lookup[],3,0)</f>
        <v>K&amp;R FT</v>
      </c>
      <c r="AE518" s="14" t="str">
        <f>VLOOKUP(flu_eth_ep[[#This Row],[trust_code]],trust_lookup[],4,0)</f>
        <v>Acute &amp; Community</v>
      </c>
    </row>
    <row r="519" spans="23:31" x14ac:dyDescent="0.35">
      <c r="W519" s="2" t="s">
        <v>113</v>
      </c>
      <c r="X519" s="2" t="s">
        <v>114</v>
      </c>
      <c r="Y519" s="2" t="s">
        <v>194</v>
      </c>
      <c r="Z519" s="2" t="s">
        <v>129</v>
      </c>
      <c r="AA519" s="23">
        <v>17</v>
      </c>
      <c r="AB519" s="23">
        <v>3</v>
      </c>
      <c r="AC519" s="2">
        <v>0.17647058823529399</v>
      </c>
      <c r="AD519" s="14" t="str">
        <f>VLOOKUP(flu_eth_ep[[#This Row],[trust_code]],trust_lookup[],3,0)</f>
        <v>K&amp;R FT</v>
      </c>
      <c r="AE519" s="14" t="str">
        <f>VLOOKUP(flu_eth_ep[[#This Row],[trust_code]],trust_lookup[],4,0)</f>
        <v>Acute &amp; Community</v>
      </c>
    </row>
    <row r="520" spans="23:31" x14ac:dyDescent="0.35">
      <c r="W520" s="2" t="s">
        <v>113</v>
      </c>
      <c r="X520" s="2" t="s">
        <v>114</v>
      </c>
      <c r="Y520" s="2" t="s">
        <v>194</v>
      </c>
      <c r="Z520" s="2" t="s">
        <v>123</v>
      </c>
      <c r="AA520" s="23">
        <v>235</v>
      </c>
      <c r="AB520" s="23">
        <v>90</v>
      </c>
      <c r="AC520" s="2">
        <v>0.38297872340425498</v>
      </c>
      <c r="AD520" s="14" t="str">
        <f>VLOOKUP(flu_eth_ep[[#This Row],[trust_code]],trust_lookup[],3,0)</f>
        <v>K&amp;R FT</v>
      </c>
      <c r="AE520" s="14" t="str">
        <f>VLOOKUP(flu_eth_ep[[#This Row],[trust_code]],trust_lookup[],4,0)</f>
        <v>Acute &amp; Community</v>
      </c>
    </row>
    <row r="521" spans="23:31" x14ac:dyDescent="0.35">
      <c r="W521" s="2" t="s">
        <v>113</v>
      </c>
      <c r="X521" s="2" t="s">
        <v>114</v>
      </c>
      <c r="Y521" s="2" t="s">
        <v>194</v>
      </c>
      <c r="Z521" s="2" t="s">
        <v>29</v>
      </c>
      <c r="AA521" s="23">
        <v>63</v>
      </c>
      <c r="AB521" s="23">
        <v>26</v>
      </c>
      <c r="AC521" s="2">
        <v>0.41269841269841201</v>
      </c>
      <c r="AD521" s="14" t="str">
        <f>VLOOKUP(flu_eth_ep[[#This Row],[trust_code]],trust_lookup[],3,0)</f>
        <v>K&amp;R FT</v>
      </c>
      <c r="AE521" s="14" t="str">
        <f>VLOOKUP(flu_eth_ep[[#This Row],[trust_code]],trust_lookup[],4,0)</f>
        <v>Acute &amp; Community</v>
      </c>
    </row>
    <row r="522" spans="23:31" x14ac:dyDescent="0.35">
      <c r="W522" s="2" t="s">
        <v>113</v>
      </c>
      <c r="X522" s="2" t="s">
        <v>114</v>
      </c>
      <c r="Y522" s="2" t="s">
        <v>194</v>
      </c>
      <c r="Z522" s="2" t="s">
        <v>82</v>
      </c>
      <c r="AA522" s="23">
        <v>79</v>
      </c>
      <c r="AB522" s="23">
        <v>24</v>
      </c>
      <c r="AC522" s="2">
        <v>0.30379746835443</v>
      </c>
      <c r="AD522" s="14" t="str">
        <f>VLOOKUP(flu_eth_ep[[#This Row],[trust_code]],trust_lookup[],3,0)</f>
        <v>K&amp;R FT</v>
      </c>
      <c r="AE522" s="14" t="str">
        <f>VLOOKUP(flu_eth_ep[[#This Row],[trust_code]],trust_lookup[],4,0)</f>
        <v>Acute &amp; Community</v>
      </c>
    </row>
    <row r="523" spans="23:31" x14ac:dyDescent="0.35">
      <c r="W523" s="2" t="s">
        <v>113</v>
      </c>
      <c r="X523" s="2" t="s">
        <v>114</v>
      </c>
      <c r="Y523" s="2" t="s">
        <v>194</v>
      </c>
      <c r="Z523" s="2" t="s">
        <v>75</v>
      </c>
      <c r="AA523" s="23">
        <v>87</v>
      </c>
      <c r="AB523" s="23">
        <v>18</v>
      </c>
      <c r="AC523" s="2">
        <v>0.20689655172413701</v>
      </c>
      <c r="AD523" s="14" t="str">
        <f>VLOOKUP(flu_eth_ep[[#This Row],[trust_code]],trust_lookup[],3,0)</f>
        <v>K&amp;R FT</v>
      </c>
      <c r="AE523" s="14" t="str">
        <f>VLOOKUP(flu_eth_ep[[#This Row],[trust_code]],trust_lookup[],4,0)</f>
        <v>Acute &amp; Community</v>
      </c>
    </row>
    <row r="524" spans="23:31" x14ac:dyDescent="0.35">
      <c r="W524" s="2" t="s">
        <v>113</v>
      </c>
      <c r="X524" s="2" t="s">
        <v>114</v>
      </c>
      <c r="Y524" s="2" t="s">
        <v>194</v>
      </c>
      <c r="Z524" s="2" t="s">
        <v>36</v>
      </c>
      <c r="AA524" s="23">
        <v>231</v>
      </c>
      <c r="AB524" s="23">
        <v>101</v>
      </c>
      <c r="AC524" s="2">
        <v>0.43722943722943702</v>
      </c>
      <c r="AD524" s="14" t="str">
        <f>VLOOKUP(flu_eth_ep[[#This Row],[trust_code]],trust_lookup[],3,0)</f>
        <v>K&amp;R FT</v>
      </c>
      <c r="AE524" s="14" t="str">
        <f>VLOOKUP(flu_eth_ep[[#This Row],[trust_code]],trust_lookup[],4,0)</f>
        <v>Acute &amp; Community</v>
      </c>
    </row>
    <row r="525" spans="23:31" x14ac:dyDescent="0.35">
      <c r="W525" s="2" t="s">
        <v>113</v>
      </c>
      <c r="X525" s="2" t="s">
        <v>114</v>
      </c>
      <c r="Y525" s="2" t="s">
        <v>194</v>
      </c>
      <c r="Z525" s="2" t="s">
        <v>100</v>
      </c>
      <c r="AA525" s="23">
        <v>305</v>
      </c>
      <c r="AB525" s="23">
        <v>86</v>
      </c>
      <c r="AC525" s="2">
        <v>0.28196721311475398</v>
      </c>
      <c r="AD525" s="14" t="str">
        <f>VLOOKUP(flu_eth_ep[[#This Row],[trust_code]],trust_lookup[],3,0)</f>
        <v>K&amp;R FT</v>
      </c>
      <c r="AE525" s="14" t="str">
        <f>VLOOKUP(flu_eth_ep[[#This Row],[trust_code]],trust_lookup[],4,0)</f>
        <v>Acute &amp; Community</v>
      </c>
    </row>
    <row r="526" spans="23:31" x14ac:dyDescent="0.35">
      <c r="W526" s="2" t="s">
        <v>113</v>
      </c>
      <c r="X526" s="2" t="s">
        <v>114</v>
      </c>
      <c r="Y526" s="2" t="s">
        <v>194</v>
      </c>
      <c r="Z526" s="2" t="s">
        <v>61</v>
      </c>
      <c r="AA526" s="23">
        <v>54</v>
      </c>
      <c r="AB526" s="23">
        <v>15</v>
      </c>
      <c r="AC526" s="2">
        <v>0.27777777777777701</v>
      </c>
      <c r="AD526" s="14" t="str">
        <f>VLOOKUP(flu_eth_ep[[#This Row],[trust_code]],trust_lookup[],3,0)</f>
        <v>K&amp;R FT</v>
      </c>
      <c r="AE526" s="14" t="str">
        <f>VLOOKUP(flu_eth_ep[[#This Row],[trust_code]],trust_lookup[],4,0)</f>
        <v>Acute &amp; Community</v>
      </c>
    </row>
    <row r="527" spans="23:31" x14ac:dyDescent="0.35">
      <c r="W527" s="2" t="s">
        <v>167</v>
      </c>
      <c r="X527" s="2" t="s">
        <v>168</v>
      </c>
      <c r="Y527" s="2" t="s">
        <v>194</v>
      </c>
      <c r="Z527" s="2" t="s">
        <v>94</v>
      </c>
      <c r="AA527" s="23">
        <v>15</v>
      </c>
      <c r="AB527" s="23">
        <v>5</v>
      </c>
      <c r="AC527" s="2">
        <v>0.33333333333333298</v>
      </c>
      <c r="AD527" s="14" t="str">
        <f>VLOOKUP(flu_eth_ep[[#This Row],[trust_code]],trust_lookup[],3,0)</f>
        <v>SWL&amp;StG</v>
      </c>
      <c r="AE527" s="14" t="str">
        <f>VLOOKUP(flu_eth_ep[[#This Row],[trust_code]],trust_lookup[],4,0)</f>
        <v>Mental Health</v>
      </c>
    </row>
    <row r="528" spans="23:31" x14ac:dyDescent="0.35">
      <c r="W528" s="2" t="s">
        <v>167</v>
      </c>
      <c r="X528" s="2" t="s">
        <v>168</v>
      </c>
      <c r="Y528" s="2" t="s">
        <v>194</v>
      </c>
      <c r="Z528" s="2" t="s">
        <v>106</v>
      </c>
      <c r="AA528" s="23">
        <v>19</v>
      </c>
      <c r="AB528" s="23">
        <v>11</v>
      </c>
      <c r="AC528" s="2">
        <v>0.57894736842105199</v>
      </c>
      <c r="AD528" s="14" t="str">
        <f>VLOOKUP(flu_eth_ep[[#This Row],[trust_code]],trust_lookup[],3,0)</f>
        <v>SWL&amp;StG</v>
      </c>
      <c r="AE528" s="14" t="str">
        <f>VLOOKUP(flu_eth_ep[[#This Row],[trust_code]],trust_lookup[],4,0)</f>
        <v>Mental Health</v>
      </c>
    </row>
    <row r="529" spans="23:31" x14ac:dyDescent="0.35">
      <c r="W529" s="2" t="s">
        <v>167</v>
      </c>
      <c r="X529" s="2" t="s">
        <v>168</v>
      </c>
      <c r="Y529" s="2" t="s">
        <v>194</v>
      </c>
      <c r="Z529" s="2" t="s">
        <v>54</v>
      </c>
      <c r="AA529" s="23">
        <v>220</v>
      </c>
      <c r="AB529" s="23">
        <v>72</v>
      </c>
      <c r="AC529" s="2">
        <v>0.32727272727272699</v>
      </c>
      <c r="AD529" s="14" t="str">
        <f>VLOOKUP(flu_eth_ep[[#This Row],[trust_code]],trust_lookup[],3,0)</f>
        <v>SWL&amp;StG</v>
      </c>
      <c r="AE529" s="14" t="str">
        <f>VLOOKUP(flu_eth_ep[[#This Row],[trust_code]],trust_lookup[],4,0)</f>
        <v>Mental Health</v>
      </c>
    </row>
    <row r="530" spans="23:31" x14ac:dyDescent="0.35">
      <c r="W530" s="2" t="s">
        <v>167</v>
      </c>
      <c r="X530" s="2" t="s">
        <v>168</v>
      </c>
      <c r="Y530" s="2" t="s">
        <v>194</v>
      </c>
      <c r="Z530" s="2" t="s">
        <v>61</v>
      </c>
      <c r="AA530" s="23">
        <v>63</v>
      </c>
      <c r="AB530" s="23">
        <v>11</v>
      </c>
      <c r="AC530" s="2">
        <v>0.17460317460317401</v>
      </c>
      <c r="AD530" s="14" t="str">
        <f>VLOOKUP(flu_eth_ep[[#This Row],[trust_code]],trust_lookup[],3,0)</f>
        <v>SWL&amp;StG</v>
      </c>
      <c r="AE530" s="14" t="str">
        <f>VLOOKUP(flu_eth_ep[[#This Row],[trust_code]],trust_lookup[],4,0)</f>
        <v>Mental Health</v>
      </c>
    </row>
    <row r="531" spans="23:31" x14ac:dyDescent="0.35">
      <c r="W531" s="2" t="s">
        <v>167</v>
      </c>
      <c r="X531" s="2" t="s">
        <v>168</v>
      </c>
      <c r="Y531" s="2" t="s">
        <v>194</v>
      </c>
      <c r="Z531" s="2" t="s">
        <v>123</v>
      </c>
      <c r="AA531" s="23">
        <v>75</v>
      </c>
      <c r="AB531" s="23">
        <v>37</v>
      </c>
      <c r="AC531" s="2">
        <v>0.49333333333333301</v>
      </c>
      <c r="AD531" s="14" t="str">
        <f>VLOOKUP(flu_eth_ep[[#This Row],[trust_code]],trust_lookup[],3,0)</f>
        <v>SWL&amp;StG</v>
      </c>
      <c r="AE531" s="14" t="str">
        <f>VLOOKUP(flu_eth_ep[[#This Row],[trust_code]],trust_lookup[],4,0)</f>
        <v>Mental Health</v>
      </c>
    </row>
    <row r="532" spans="23:31" x14ac:dyDescent="0.35">
      <c r="W532" s="2" t="s">
        <v>167</v>
      </c>
      <c r="X532" s="2" t="s">
        <v>168</v>
      </c>
      <c r="Y532" s="2" t="s">
        <v>194</v>
      </c>
      <c r="Z532" s="2" t="s">
        <v>88</v>
      </c>
      <c r="AA532" s="23">
        <v>18</v>
      </c>
      <c r="AB532" s="23">
        <v>8</v>
      </c>
      <c r="AC532" s="2">
        <v>0.44444444444444398</v>
      </c>
      <c r="AD532" s="14" t="str">
        <f>VLOOKUP(flu_eth_ep[[#This Row],[trust_code]],trust_lookup[],3,0)</f>
        <v>SWL&amp;StG</v>
      </c>
      <c r="AE532" s="14" t="str">
        <f>VLOOKUP(flu_eth_ep[[#This Row],[trust_code]],trust_lookup[],4,0)</f>
        <v>Mental Health</v>
      </c>
    </row>
    <row r="533" spans="23:31" x14ac:dyDescent="0.35">
      <c r="W533" s="2" t="s">
        <v>167</v>
      </c>
      <c r="X533" s="2" t="s">
        <v>168</v>
      </c>
      <c r="Y533" s="2" t="s">
        <v>194</v>
      </c>
      <c r="Z533" s="2" t="s">
        <v>100</v>
      </c>
      <c r="AA533" s="23">
        <v>742</v>
      </c>
      <c r="AB533" s="23">
        <v>193</v>
      </c>
      <c r="AC533" s="2">
        <v>0.26010781671159</v>
      </c>
      <c r="AD533" s="14" t="str">
        <f>VLOOKUP(flu_eth_ep[[#This Row],[trust_code]],trust_lookup[],3,0)</f>
        <v>SWL&amp;StG</v>
      </c>
      <c r="AE533" s="14" t="str">
        <f>VLOOKUP(flu_eth_ep[[#This Row],[trust_code]],trust_lookup[],4,0)</f>
        <v>Mental Health</v>
      </c>
    </row>
    <row r="534" spans="23:31" x14ac:dyDescent="0.35">
      <c r="W534" s="2" t="s">
        <v>167</v>
      </c>
      <c r="X534" s="2" t="s">
        <v>168</v>
      </c>
      <c r="Y534" s="2" t="s">
        <v>194</v>
      </c>
      <c r="Z534" s="2" t="s">
        <v>135</v>
      </c>
      <c r="AA534" s="23">
        <v>36</v>
      </c>
      <c r="AB534" s="23">
        <v>18</v>
      </c>
      <c r="AC534" s="2">
        <v>0.5</v>
      </c>
      <c r="AD534" s="14" t="str">
        <f>VLOOKUP(flu_eth_ep[[#This Row],[trust_code]],trust_lookup[],3,0)</f>
        <v>SWL&amp;StG</v>
      </c>
      <c r="AE534" s="14" t="str">
        <f>VLOOKUP(flu_eth_ep[[#This Row],[trust_code]],trust_lookup[],4,0)</f>
        <v>Mental Health</v>
      </c>
    </row>
    <row r="535" spans="23:31" x14ac:dyDescent="0.35">
      <c r="W535" s="2" t="s">
        <v>167</v>
      </c>
      <c r="X535" s="2" t="s">
        <v>168</v>
      </c>
      <c r="Y535" s="2" t="s">
        <v>194</v>
      </c>
      <c r="Z535" s="2" t="s">
        <v>112</v>
      </c>
      <c r="AA535" s="23">
        <v>97</v>
      </c>
      <c r="AB535" s="23">
        <v>37</v>
      </c>
      <c r="AC535" s="2">
        <v>0.38144329896907198</v>
      </c>
      <c r="AD535" s="14" t="str">
        <f>VLOOKUP(flu_eth_ep[[#This Row],[trust_code]],trust_lookup[],3,0)</f>
        <v>SWL&amp;StG</v>
      </c>
      <c r="AE535" s="14" t="str">
        <f>VLOOKUP(flu_eth_ep[[#This Row],[trust_code]],trust_lookup[],4,0)</f>
        <v>Mental Health</v>
      </c>
    </row>
    <row r="536" spans="23:31" x14ac:dyDescent="0.35">
      <c r="W536" s="2" t="s">
        <v>167</v>
      </c>
      <c r="X536" s="2" t="s">
        <v>168</v>
      </c>
      <c r="Y536" s="2" t="s">
        <v>194</v>
      </c>
      <c r="Z536" s="2" t="s">
        <v>36</v>
      </c>
      <c r="AA536" s="23">
        <v>134</v>
      </c>
      <c r="AB536" s="23">
        <v>43</v>
      </c>
      <c r="AC536" s="2">
        <v>0.32089552238805902</v>
      </c>
      <c r="AD536" s="14" t="str">
        <f>VLOOKUP(flu_eth_ep[[#This Row],[trust_code]],trust_lookup[],3,0)</f>
        <v>SWL&amp;StG</v>
      </c>
      <c r="AE536" s="14" t="str">
        <f>VLOOKUP(flu_eth_ep[[#This Row],[trust_code]],trust_lookup[],4,0)</f>
        <v>Mental Health</v>
      </c>
    </row>
    <row r="537" spans="23:31" x14ac:dyDescent="0.35">
      <c r="W537" s="2" t="s">
        <v>167</v>
      </c>
      <c r="X537" s="2" t="s">
        <v>168</v>
      </c>
      <c r="Y537" s="2" t="s">
        <v>194</v>
      </c>
      <c r="Z537" s="2" t="s">
        <v>82</v>
      </c>
      <c r="AA537" s="23">
        <v>31</v>
      </c>
      <c r="AB537" s="23">
        <v>5</v>
      </c>
      <c r="AC537" s="2">
        <v>0.16129032258064499</v>
      </c>
      <c r="AD537" s="14" t="str">
        <f>VLOOKUP(flu_eth_ep[[#This Row],[trust_code]],trust_lookup[],3,0)</f>
        <v>SWL&amp;StG</v>
      </c>
      <c r="AE537" s="14" t="str">
        <f>VLOOKUP(flu_eth_ep[[#This Row],[trust_code]],trust_lookup[],4,0)</f>
        <v>Mental Health</v>
      </c>
    </row>
    <row r="538" spans="23:31" x14ac:dyDescent="0.35">
      <c r="W538" s="2" t="s">
        <v>167</v>
      </c>
      <c r="X538" s="2" t="s">
        <v>168</v>
      </c>
      <c r="Y538" s="2" t="s">
        <v>194</v>
      </c>
      <c r="Z538" s="2" t="s">
        <v>75</v>
      </c>
      <c r="AA538" s="23">
        <v>171</v>
      </c>
      <c r="AB538" s="23">
        <v>36</v>
      </c>
      <c r="AC538" s="2">
        <v>0.21052631578947301</v>
      </c>
      <c r="AD538" s="14" t="str">
        <f>VLOOKUP(flu_eth_ep[[#This Row],[trust_code]],trust_lookup[],3,0)</f>
        <v>SWL&amp;StG</v>
      </c>
      <c r="AE538" s="14" t="str">
        <f>VLOOKUP(flu_eth_ep[[#This Row],[trust_code]],trust_lookup[],4,0)</f>
        <v>Mental Health</v>
      </c>
    </row>
    <row r="539" spans="23:31" x14ac:dyDescent="0.35">
      <c r="W539" s="2" t="s">
        <v>167</v>
      </c>
      <c r="X539" s="2" t="s">
        <v>168</v>
      </c>
      <c r="Y539" s="2" t="s">
        <v>194</v>
      </c>
      <c r="Z539" s="2" t="s">
        <v>47</v>
      </c>
      <c r="AA539" s="23">
        <v>48</v>
      </c>
      <c r="AB539" s="23">
        <v>15</v>
      </c>
      <c r="AC539" s="2">
        <v>0.3125</v>
      </c>
      <c r="AD539" s="14" t="str">
        <f>VLOOKUP(flu_eth_ep[[#This Row],[trust_code]],trust_lookup[],3,0)</f>
        <v>SWL&amp;StG</v>
      </c>
      <c r="AE539" s="14" t="str">
        <f>VLOOKUP(flu_eth_ep[[#This Row],[trust_code]],trust_lookup[],4,0)</f>
        <v>Mental Health</v>
      </c>
    </row>
    <row r="540" spans="23:31" x14ac:dyDescent="0.35">
      <c r="W540" s="2" t="s">
        <v>167</v>
      </c>
      <c r="X540" s="2" t="s">
        <v>168</v>
      </c>
      <c r="Y540" s="2" t="s">
        <v>194</v>
      </c>
      <c r="Z540" s="2" t="s">
        <v>68</v>
      </c>
      <c r="AA540" s="23">
        <v>638</v>
      </c>
      <c r="AB540" s="23">
        <v>313</v>
      </c>
      <c r="AC540" s="2">
        <v>0.49059561128526602</v>
      </c>
      <c r="AD540" s="14" t="str">
        <f>VLOOKUP(flu_eth_ep[[#This Row],[trust_code]],trust_lookup[],3,0)</f>
        <v>SWL&amp;StG</v>
      </c>
      <c r="AE540" s="14" t="str">
        <f>VLOOKUP(flu_eth_ep[[#This Row],[trust_code]],trust_lookup[],4,0)</f>
        <v>Mental Health</v>
      </c>
    </row>
    <row r="541" spans="23:31" x14ac:dyDescent="0.35">
      <c r="W541" s="2" t="s">
        <v>167</v>
      </c>
      <c r="X541" s="2" t="s">
        <v>168</v>
      </c>
      <c r="Y541" s="2" t="s">
        <v>194</v>
      </c>
      <c r="Z541" s="2" t="s">
        <v>29</v>
      </c>
      <c r="AA541" s="23">
        <v>32</v>
      </c>
      <c r="AB541" s="23">
        <v>14</v>
      </c>
      <c r="AC541" s="2">
        <v>0.4375</v>
      </c>
      <c r="AD541" s="14" t="str">
        <f>VLOOKUP(flu_eth_ep[[#This Row],[trust_code]],trust_lookup[],3,0)</f>
        <v>SWL&amp;StG</v>
      </c>
      <c r="AE541" s="14" t="str">
        <f>VLOOKUP(flu_eth_ep[[#This Row],[trust_code]],trust_lookup[],4,0)</f>
        <v>Mental Health</v>
      </c>
    </row>
    <row r="542" spans="23:31" x14ac:dyDescent="0.35">
      <c r="W542" s="2" t="s">
        <v>167</v>
      </c>
      <c r="X542" s="2" t="s">
        <v>168</v>
      </c>
      <c r="Y542" s="2" t="s">
        <v>194</v>
      </c>
      <c r="Z542" s="2" t="s">
        <v>129</v>
      </c>
      <c r="AA542" s="23">
        <v>11</v>
      </c>
      <c r="AB542" s="23">
        <v>3</v>
      </c>
      <c r="AC542" s="2">
        <v>0.27272727272727199</v>
      </c>
      <c r="AD542" s="14" t="str">
        <f>VLOOKUP(flu_eth_ep[[#This Row],[trust_code]],trust_lookup[],3,0)</f>
        <v>SWL&amp;StG</v>
      </c>
      <c r="AE542" s="14" t="str">
        <f>VLOOKUP(flu_eth_ep[[#This Row],[trust_code]],trust_lookup[],4,0)</f>
        <v>Mental Health</v>
      </c>
    </row>
    <row r="543" spans="23:31" x14ac:dyDescent="0.35">
      <c r="W543" s="2" t="s">
        <v>167</v>
      </c>
      <c r="X543" s="2" t="s">
        <v>168</v>
      </c>
      <c r="Y543" s="2" t="s">
        <v>194</v>
      </c>
      <c r="Z543" s="2" t="s">
        <v>141</v>
      </c>
      <c r="AA543" s="23">
        <v>104</v>
      </c>
      <c r="AB543" s="23">
        <v>40</v>
      </c>
      <c r="AC543" s="2">
        <v>0.38461538461538403</v>
      </c>
      <c r="AD543" s="14" t="str">
        <f>VLOOKUP(flu_eth_ep[[#This Row],[trust_code]],trust_lookup[],3,0)</f>
        <v>SWL&amp;StG</v>
      </c>
      <c r="AE543" s="14" t="str">
        <f>VLOOKUP(flu_eth_ep[[#This Row],[trust_code]],trust_lookup[],4,0)</f>
        <v>Mental Health</v>
      </c>
    </row>
    <row r="544" spans="23:31" x14ac:dyDescent="0.35">
      <c r="W544" s="2" t="s">
        <v>167</v>
      </c>
      <c r="X544" s="2" t="s">
        <v>168</v>
      </c>
      <c r="Y544" s="2" t="s">
        <v>194</v>
      </c>
      <c r="Z544" s="2" t="s">
        <v>36</v>
      </c>
      <c r="AA544" s="23">
        <v>0</v>
      </c>
      <c r="AB544" s="23">
        <v>0</v>
      </c>
      <c r="AD544" s="14" t="str">
        <f>VLOOKUP(flu_eth_ep[[#This Row],[trust_code]],trust_lookup[],3,0)</f>
        <v>SWL&amp;StG</v>
      </c>
      <c r="AE544" s="14" t="str">
        <f>VLOOKUP(flu_eth_ep[[#This Row],[trust_code]],trust_lookup[],4,0)</f>
        <v>Mental Health</v>
      </c>
    </row>
    <row r="545" spans="23:31" x14ac:dyDescent="0.35">
      <c r="W545" s="2" t="s">
        <v>170</v>
      </c>
      <c r="X545" s="2" t="s">
        <v>171</v>
      </c>
      <c r="Y545" s="2" t="s">
        <v>194</v>
      </c>
      <c r="Z545" s="2" t="s">
        <v>112</v>
      </c>
      <c r="AA545" s="23">
        <v>551</v>
      </c>
      <c r="AB545" s="23">
        <v>237</v>
      </c>
      <c r="AC545" s="2">
        <v>0.430127041742286</v>
      </c>
      <c r="AD545" s="14" t="str">
        <f>VLOOKUP(flu_eth_ep[[#This Row],[trust_code]],trust_lookup[],3,0)</f>
        <v>St George's</v>
      </c>
      <c r="AE545" s="14" t="str">
        <f>VLOOKUP(flu_eth_ep[[#This Row],[trust_code]],trust_lookup[],4,0)</f>
        <v>Acute</v>
      </c>
    </row>
    <row r="546" spans="23:31" x14ac:dyDescent="0.35">
      <c r="W546" s="2" t="s">
        <v>170</v>
      </c>
      <c r="X546" s="2" t="s">
        <v>171</v>
      </c>
      <c r="Y546" s="2" t="s">
        <v>194</v>
      </c>
      <c r="Z546" s="2" t="s">
        <v>82</v>
      </c>
      <c r="AA546" s="23">
        <v>132</v>
      </c>
      <c r="AB546" s="23">
        <v>40</v>
      </c>
      <c r="AC546" s="2">
        <v>0.30303030303030298</v>
      </c>
      <c r="AD546" s="14" t="str">
        <f>VLOOKUP(flu_eth_ep[[#This Row],[trust_code]],trust_lookup[],3,0)</f>
        <v>St George's</v>
      </c>
      <c r="AE546" s="14" t="str">
        <f>VLOOKUP(flu_eth_ep[[#This Row],[trust_code]],trust_lookup[],4,0)</f>
        <v>Acute</v>
      </c>
    </row>
    <row r="547" spans="23:31" x14ac:dyDescent="0.35">
      <c r="W547" s="2" t="s">
        <v>170</v>
      </c>
      <c r="X547" s="2" t="s">
        <v>171</v>
      </c>
      <c r="Y547" s="2" t="s">
        <v>194</v>
      </c>
      <c r="Z547" s="2" t="s">
        <v>129</v>
      </c>
      <c r="AA547" s="23">
        <v>36</v>
      </c>
      <c r="AB547" s="23">
        <v>7</v>
      </c>
      <c r="AC547" s="2">
        <v>0.194444444444444</v>
      </c>
      <c r="AD547" s="14" t="str">
        <f>VLOOKUP(flu_eth_ep[[#This Row],[trust_code]],trust_lookup[],3,0)</f>
        <v>St George's</v>
      </c>
      <c r="AE547" s="14" t="str">
        <f>VLOOKUP(flu_eth_ep[[#This Row],[trust_code]],trust_lookup[],4,0)</f>
        <v>Acute</v>
      </c>
    </row>
    <row r="548" spans="23:31" x14ac:dyDescent="0.35">
      <c r="W548" s="2" t="s">
        <v>170</v>
      </c>
      <c r="X548" s="2" t="s">
        <v>171</v>
      </c>
      <c r="Y548" s="2" t="s">
        <v>194</v>
      </c>
      <c r="Z548" s="2" t="s">
        <v>68</v>
      </c>
      <c r="AA548" s="23">
        <v>1838</v>
      </c>
      <c r="AB548" s="23">
        <v>1040</v>
      </c>
      <c r="AC548" s="2">
        <v>0.56583242655059796</v>
      </c>
      <c r="AD548" s="14" t="str">
        <f>VLOOKUP(flu_eth_ep[[#This Row],[trust_code]],trust_lookup[],3,0)</f>
        <v>St George's</v>
      </c>
      <c r="AE548" s="14" t="str">
        <f>VLOOKUP(flu_eth_ep[[#This Row],[trust_code]],trust_lookup[],4,0)</f>
        <v>Acute</v>
      </c>
    </row>
    <row r="549" spans="23:31" x14ac:dyDescent="0.35">
      <c r="W549" s="2" t="s">
        <v>170</v>
      </c>
      <c r="X549" s="2" t="s">
        <v>171</v>
      </c>
      <c r="Y549" s="2" t="s">
        <v>194</v>
      </c>
      <c r="Z549" s="2" t="s">
        <v>29</v>
      </c>
      <c r="AA549" s="23">
        <v>144</v>
      </c>
      <c r="AB549" s="23">
        <v>67</v>
      </c>
      <c r="AC549" s="2">
        <v>0.46527777777777701</v>
      </c>
      <c r="AD549" s="14" t="str">
        <f>VLOOKUP(flu_eth_ep[[#This Row],[trust_code]],trust_lookup[],3,0)</f>
        <v>St George's</v>
      </c>
      <c r="AE549" s="14" t="str">
        <f>VLOOKUP(flu_eth_ep[[#This Row],[trust_code]],trust_lookup[],4,0)</f>
        <v>Acute</v>
      </c>
    </row>
    <row r="550" spans="23:31" x14ac:dyDescent="0.35">
      <c r="W550" s="2" t="s">
        <v>170</v>
      </c>
      <c r="X550" s="2" t="s">
        <v>171</v>
      </c>
      <c r="Y550" s="2" t="s">
        <v>194</v>
      </c>
      <c r="Z550" s="2" t="s">
        <v>61</v>
      </c>
      <c r="AA550" s="23">
        <v>221</v>
      </c>
      <c r="AB550" s="23">
        <v>38</v>
      </c>
      <c r="AC550" s="2">
        <v>0.17194570135746601</v>
      </c>
      <c r="AD550" s="14" t="str">
        <f>VLOOKUP(flu_eth_ep[[#This Row],[trust_code]],trust_lookup[],3,0)</f>
        <v>St George's</v>
      </c>
      <c r="AE550" s="14" t="str">
        <f>VLOOKUP(flu_eth_ep[[#This Row],[trust_code]],trust_lookup[],4,0)</f>
        <v>Acute</v>
      </c>
    </row>
    <row r="551" spans="23:31" x14ac:dyDescent="0.35">
      <c r="W551" s="2" t="s">
        <v>170</v>
      </c>
      <c r="X551" s="2" t="s">
        <v>171</v>
      </c>
      <c r="Y551" s="2" t="s">
        <v>194</v>
      </c>
      <c r="Z551" s="2" t="s">
        <v>100</v>
      </c>
      <c r="AA551" s="23">
        <v>759</v>
      </c>
      <c r="AB551" s="23">
        <v>173</v>
      </c>
      <c r="AC551" s="2">
        <v>0.22793148880105399</v>
      </c>
      <c r="AD551" s="14" t="str">
        <f>VLOOKUP(flu_eth_ep[[#This Row],[trust_code]],trust_lookup[],3,0)</f>
        <v>St George's</v>
      </c>
      <c r="AE551" s="14" t="str">
        <f>VLOOKUP(flu_eth_ep[[#This Row],[trust_code]],trust_lookup[],4,0)</f>
        <v>Acute</v>
      </c>
    </row>
    <row r="552" spans="23:31" x14ac:dyDescent="0.35">
      <c r="W552" s="2" t="s">
        <v>170</v>
      </c>
      <c r="X552" s="2" t="s">
        <v>171</v>
      </c>
      <c r="Y552" s="2" t="s">
        <v>194</v>
      </c>
      <c r="Z552" s="2" t="s">
        <v>36</v>
      </c>
      <c r="AA552" s="23">
        <v>4</v>
      </c>
      <c r="AB552" s="23">
        <v>0</v>
      </c>
      <c r="AC552" s="2">
        <v>0</v>
      </c>
      <c r="AD552" s="14" t="str">
        <f>VLOOKUP(flu_eth_ep[[#This Row],[trust_code]],trust_lookup[],3,0)</f>
        <v>St George's</v>
      </c>
      <c r="AE552" s="14" t="str">
        <f>VLOOKUP(flu_eth_ep[[#This Row],[trust_code]],trust_lookup[],4,0)</f>
        <v>Acute</v>
      </c>
    </row>
    <row r="553" spans="23:31" x14ac:dyDescent="0.35">
      <c r="W553" s="2" t="s">
        <v>170</v>
      </c>
      <c r="X553" s="2" t="s">
        <v>171</v>
      </c>
      <c r="Y553" s="2" t="s">
        <v>194</v>
      </c>
      <c r="Z553" s="2" t="s">
        <v>47</v>
      </c>
      <c r="AA553" s="23">
        <v>70</v>
      </c>
      <c r="AB553" s="23">
        <v>13</v>
      </c>
      <c r="AC553" s="2">
        <v>0.185714285714285</v>
      </c>
      <c r="AD553" s="14" t="str">
        <f>VLOOKUP(flu_eth_ep[[#This Row],[trust_code]],trust_lookup[],3,0)</f>
        <v>St George's</v>
      </c>
      <c r="AE553" s="14" t="str">
        <f>VLOOKUP(flu_eth_ep[[#This Row],[trust_code]],trust_lookup[],4,0)</f>
        <v>Acute</v>
      </c>
    </row>
    <row r="554" spans="23:31" x14ac:dyDescent="0.35">
      <c r="W554" s="2" t="s">
        <v>170</v>
      </c>
      <c r="X554" s="2" t="s">
        <v>171</v>
      </c>
      <c r="Y554" s="2" t="s">
        <v>194</v>
      </c>
      <c r="Z554" s="2" t="s">
        <v>36</v>
      </c>
      <c r="AA554" s="23">
        <v>364</v>
      </c>
      <c r="AB554" s="23">
        <v>153</v>
      </c>
      <c r="AC554" s="2">
        <v>0.42032967032967</v>
      </c>
      <c r="AD554" s="14" t="str">
        <f>VLOOKUP(flu_eth_ep[[#This Row],[trust_code]],trust_lookup[],3,0)</f>
        <v>St George's</v>
      </c>
      <c r="AE554" s="14" t="str">
        <f>VLOOKUP(flu_eth_ep[[#This Row],[trust_code]],trust_lookup[],4,0)</f>
        <v>Acute</v>
      </c>
    </row>
    <row r="555" spans="23:31" x14ac:dyDescent="0.35">
      <c r="W555" s="2" t="s">
        <v>170</v>
      </c>
      <c r="X555" s="2" t="s">
        <v>171</v>
      </c>
      <c r="Y555" s="2" t="s">
        <v>194</v>
      </c>
      <c r="Z555" s="2" t="s">
        <v>94</v>
      </c>
      <c r="AA555" s="23">
        <v>53</v>
      </c>
      <c r="AB555" s="23">
        <v>22</v>
      </c>
      <c r="AC555" s="2">
        <v>0.41509433962264097</v>
      </c>
      <c r="AD555" s="14" t="str">
        <f>VLOOKUP(flu_eth_ep[[#This Row],[trust_code]],trust_lookup[],3,0)</f>
        <v>St George's</v>
      </c>
      <c r="AE555" s="14" t="str">
        <f>VLOOKUP(flu_eth_ep[[#This Row],[trust_code]],trust_lookup[],4,0)</f>
        <v>Acute</v>
      </c>
    </row>
    <row r="556" spans="23:31" x14ac:dyDescent="0.35">
      <c r="W556" s="2" t="s">
        <v>170</v>
      </c>
      <c r="X556" s="2" t="s">
        <v>171</v>
      </c>
      <c r="Y556" s="2" t="s">
        <v>194</v>
      </c>
      <c r="Z556" s="2" t="s">
        <v>141</v>
      </c>
      <c r="AA556" s="23">
        <v>839</v>
      </c>
      <c r="AB556" s="23">
        <v>351</v>
      </c>
      <c r="AC556" s="2">
        <v>0.418355184743742</v>
      </c>
      <c r="AD556" s="14" t="str">
        <f>VLOOKUP(flu_eth_ep[[#This Row],[trust_code]],trust_lookup[],3,0)</f>
        <v>St George's</v>
      </c>
      <c r="AE556" s="14" t="str">
        <f>VLOOKUP(flu_eth_ep[[#This Row],[trust_code]],trust_lookup[],4,0)</f>
        <v>Acute</v>
      </c>
    </row>
    <row r="557" spans="23:31" x14ac:dyDescent="0.35">
      <c r="W557" s="2" t="s">
        <v>170</v>
      </c>
      <c r="X557" s="2" t="s">
        <v>171</v>
      </c>
      <c r="Y557" s="2" t="s">
        <v>194</v>
      </c>
      <c r="Z557" s="2" t="s">
        <v>75</v>
      </c>
      <c r="AA557" s="23">
        <v>213</v>
      </c>
      <c r="AB557" s="23">
        <v>43</v>
      </c>
      <c r="AC557" s="2">
        <v>0.2018779342723</v>
      </c>
      <c r="AD557" s="14" t="str">
        <f>VLOOKUP(flu_eth_ep[[#This Row],[trust_code]],trust_lookup[],3,0)</f>
        <v>St George's</v>
      </c>
      <c r="AE557" s="14" t="str">
        <f>VLOOKUP(flu_eth_ep[[#This Row],[trust_code]],trust_lookup[],4,0)</f>
        <v>Acute</v>
      </c>
    </row>
    <row r="558" spans="23:31" x14ac:dyDescent="0.35">
      <c r="W558" s="2" t="s">
        <v>170</v>
      </c>
      <c r="X558" s="2" t="s">
        <v>171</v>
      </c>
      <c r="Y558" s="2" t="s">
        <v>194</v>
      </c>
      <c r="Z558" s="2" t="s">
        <v>123</v>
      </c>
      <c r="AA558" s="23">
        <v>566</v>
      </c>
      <c r="AB558" s="23">
        <v>206</v>
      </c>
      <c r="AC558" s="2">
        <v>0.36395759717314402</v>
      </c>
      <c r="AD558" s="14" t="str">
        <f>VLOOKUP(flu_eth_ep[[#This Row],[trust_code]],trust_lookup[],3,0)</f>
        <v>St George's</v>
      </c>
      <c r="AE558" s="14" t="str">
        <f>VLOOKUP(flu_eth_ep[[#This Row],[trust_code]],trust_lookup[],4,0)</f>
        <v>Acute</v>
      </c>
    </row>
    <row r="559" spans="23:31" x14ac:dyDescent="0.35">
      <c r="W559" s="2" t="s">
        <v>170</v>
      </c>
      <c r="X559" s="2" t="s">
        <v>171</v>
      </c>
      <c r="Y559" s="2" t="s">
        <v>194</v>
      </c>
      <c r="Z559" s="2" t="s">
        <v>54</v>
      </c>
      <c r="AA559" s="23">
        <v>801</v>
      </c>
      <c r="AB559" s="23">
        <v>314</v>
      </c>
      <c r="AC559" s="2">
        <v>0.39200998751560501</v>
      </c>
      <c r="AD559" s="14" t="str">
        <f>VLOOKUP(flu_eth_ep[[#This Row],[trust_code]],trust_lookup[],3,0)</f>
        <v>St George's</v>
      </c>
      <c r="AE559" s="14" t="str">
        <f>VLOOKUP(flu_eth_ep[[#This Row],[trust_code]],trust_lookup[],4,0)</f>
        <v>Acute</v>
      </c>
    </row>
    <row r="560" spans="23:31" x14ac:dyDescent="0.35">
      <c r="W560" s="2" t="s">
        <v>170</v>
      </c>
      <c r="X560" s="2" t="s">
        <v>171</v>
      </c>
      <c r="Y560" s="2" t="s">
        <v>194</v>
      </c>
      <c r="Z560" s="2" t="s">
        <v>88</v>
      </c>
      <c r="AA560" s="23">
        <v>64</v>
      </c>
      <c r="AB560" s="23">
        <v>16</v>
      </c>
      <c r="AC560" s="2">
        <v>0.25</v>
      </c>
      <c r="AD560" s="14" t="str">
        <f>VLOOKUP(flu_eth_ep[[#This Row],[trust_code]],trust_lookup[],3,0)</f>
        <v>St George's</v>
      </c>
      <c r="AE560" s="14" t="str">
        <f>VLOOKUP(flu_eth_ep[[#This Row],[trust_code]],trust_lookup[],4,0)</f>
        <v>Acute</v>
      </c>
    </row>
    <row r="561" spans="23:31" x14ac:dyDescent="0.35">
      <c r="W561" s="2" t="s">
        <v>170</v>
      </c>
      <c r="X561" s="2" t="s">
        <v>171</v>
      </c>
      <c r="Y561" s="2" t="s">
        <v>194</v>
      </c>
      <c r="Z561" s="2" t="s">
        <v>135</v>
      </c>
      <c r="AA561" s="23">
        <v>123</v>
      </c>
      <c r="AB561" s="23">
        <v>66</v>
      </c>
      <c r="AC561" s="2">
        <v>0.53658536585365801</v>
      </c>
      <c r="AD561" s="14" t="str">
        <f>VLOOKUP(flu_eth_ep[[#This Row],[trust_code]],trust_lookup[],3,0)</f>
        <v>St George's</v>
      </c>
      <c r="AE561" s="14" t="str">
        <f>VLOOKUP(flu_eth_ep[[#This Row],[trust_code]],trust_lookup[],4,0)</f>
        <v>Acute</v>
      </c>
    </row>
    <row r="562" spans="23:31" x14ac:dyDescent="0.35">
      <c r="W562" s="2" t="s">
        <v>170</v>
      </c>
      <c r="X562" s="2" t="s">
        <v>171</v>
      </c>
      <c r="Y562" s="2" t="s">
        <v>194</v>
      </c>
      <c r="Z562" s="2" t="s">
        <v>106</v>
      </c>
      <c r="AA562" s="23">
        <v>99</v>
      </c>
      <c r="AB562" s="23">
        <v>49</v>
      </c>
      <c r="AC562" s="2">
        <v>0.49494949494949497</v>
      </c>
      <c r="AD562" s="14" t="str">
        <f>VLOOKUP(flu_eth_ep[[#This Row],[trust_code]],trust_lookup[],3,0)</f>
        <v>St George's</v>
      </c>
      <c r="AE562" s="14" t="str">
        <f>VLOOKUP(flu_eth_ep[[#This Row],[trust_code]],trust_lookup[],4,0)</f>
        <v>Acute</v>
      </c>
    </row>
    <row r="563" spans="23:31" x14ac:dyDescent="0.35">
      <c r="W563" s="2" t="s">
        <v>179</v>
      </c>
      <c r="X563" s="2" t="s">
        <v>180</v>
      </c>
      <c r="Y563" s="2" t="s">
        <v>194</v>
      </c>
      <c r="Z563" s="2" t="s">
        <v>112</v>
      </c>
      <c r="AA563" s="23">
        <v>252</v>
      </c>
      <c r="AB563" s="23">
        <v>107</v>
      </c>
      <c r="AC563" s="2">
        <v>0.42460317460317398</v>
      </c>
      <c r="AD563" s="14" t="str">
        <f>VLOOKUP(flu_eth_ep[[#This Row],[trust_code]],trust_lookup[],3,0)</f>
        <v>Marsden</v>
      </c>
      <c r="AE563" s="14" t="str">
        <f>VLOOKUP(flu_eth_ep[[#This Row],[trust_code]],trust_lookup[],4,0)</f>
        <v>Specialist</v>
      </c>
    </row>
    <row r="564" spans="23:31" x14ac:dyDescent="0.35">
      <c r="W564" s="2" t="s">
        <v>179</v>
      </c>
      <c r="X564" s="2" t="s">
        <v>180</v>
      </c>
      <c r="Y564" s="2" t="s">
        <v>194</v>
      </c>
      <c r="Z564" s="2" t="s">
        <v>54</v>
      </c>
      <c r="AA564" s="23">
        <v>444</v>
      </c>
      <c r="AB564" s="23">
        <v>187</v>
      </c>
      <c r="AC564" s="2">
        <v>0.42117117117117098</v>
      </c>
      <c r="AD564" s="14" t="str">
        <f>VLOOKUP(flu_eth_ep[[#This Row],[trust_code]],trust_lookup[],3,0)</f>
        <v>Marsden</v>
      </c>
      <c r="AE564" s="14" t="str">
        <f>VLOOKUP(flu_eth_ep[[#This Row],[trust_code]],trust_lookup[],4,0)</f>
        <v>Specialist</v>
      </c>
    </row>
    <row r="565" spans="23:31" x14ac:dyDescent="0.35">
      <c r="W565" s="2" t="s">
        <v>179</v>
      </c>
      <c r="X565" s="2" t="s">
        <v>180</v>
      </c>
      <c r="Y565" s="2" t="s">
        <v>194</v>
      </c>
      <c r="Z565" s="2" t="s">
        <v>123</v>
      </c>
      <c r="AA565" s="23">
        <v>224</v>
      </c>
      <c r="AB565" s="23">
        <v>89</v>
      </c>
      <c r="AC565" s="2">
        <v>0.39732142857142799</v>
      </c>
      <c r="AD565" s="14" t="str">
        <f>VLOOKUP(flu_eth_ep[[#This Row],[trust_code]],trust_lookup[],3,0)</f>
        <v>Marsden</v>
      </c>
      <c r="AE565" s="14" t="str">
        <f>VLOOKUP(flu_eth_ep[[#This Row],[trust_code]],trust_lookup[],4,0)</f>
        <v>Specialist</v>
      </c>
    </row>
    <row r="566" spans="23:31" x14ac:dyDescent="0.35">
      <c r="W566" s="2" t="s">
        <v>179</v>
      </c>
      <c r="X566" s="2" t="s">
        <v>180</v>
      </c>
      <c r="Y566" s="2" t="s">
        <v>194</v>
      </c>
      <c r="Z566" s="2" t="s">
        <v>29</v>
      </c>
      <c r="AA566" s="23">
        <v>65</v>
      </c>
      <c r="AB566" s="23">
        <v>25</v>
      </c>
      <c r="AC566" s="2">
        <v>0.38461538461538403</v>
      </c>
      <c r="AD566" s="14" t="str">
        <f>VLOOKUP(flu_eth_ep[[#This Row],[trust_code]],trust_lookup[],3,0)</f>
        <v>Marsden</v>
      </c>
      <c r="AE566" s="14" t="str">
        <f>VLOOKUP(flu_eth_ep[[#This Row],[trust_code]],trust_lookup[],4,0)</f>
        <v>Specialist</v>
      </c>
    </row>
    <row r="567" spans="23:31" x14ac:dyDescent="0.35">
      <c r="W567" s="2" t="s">
        <v>179</v>
      </c>
      <c r="X567" s="2" t="s">
        <v>180</v>
      </c>
      <c r="Y567" s="2" t="s">
        <v>194</v>
      </c>
      <c r="Z567" s="2" t="s">
        <v>36</v>
      </c>
      <c r="AA567" s="23">
        <v>5</v>
      </c>
      <c r="AB567" s="23">
        <v>1</v>
      </c>
      <c r="AC567" s="2">
        <v>0.2</v>
      </c>
      <c r="AD567" s="14" t="str">
        <f>VLOOKUP(flu_eth_ep[[#This Row],[trust_code]],trust_lookup[],3,0)</f>
        <v>Marsden</v>
      </c>
      <c r="AE567" s="14" t="str">
        <f>VLOOKUP(flu_eth_ep[[#This Row],[trust_code]],trust_lookup[],4,0)</f>
        <v>Specialist</v>
      </c>
    </row>
    <row r="568" spans="23:31" x14ac:dyDescent="0.35">
      <c r="W568" s="2" t="s">
        <v>179</v>
      </c>
      <c r="X568" s="2" t="s">
        <v>180</v>
      </c>
      <c r="Y568" s="2" t="s">
        <v>194</v>
      </c>
      <c r="Z568" s="2" t="s">
        <v>94</v>
      </c>
      <c r="AA568" s="23">
        <v>30</v>
      </c>
      <c r="AB568" s="23">
        <v>20</v>
      </c>
      <c r="AC568" s="2">
        <v>0.66666666666666596</v>
      </c>
      <c r="AD568" s="14" t="str">
        <f>VLOOKUP(flu_eth_ep[[#This Row],[trust_code]],trust_lookup[],3,0)</f>
        <v>Marsden</v>
      </c>
      <c r="AE568" s="14" t="str">
        <f>VLOOKUP(flu_eth_ep[[#This Row],[trust_code]],trust_lookup[],4,0)</f>
        <v>Specialist</v>
      </c>
    </row>
    <row r="569" spans="23:31" x14ac:dyDescent="0.35">
      <c r="W569" s="2" t="s">
        <v>179</v>
      </c>
      <c r="X569" s="2" t="s">
        <v>180</v>
      </c>
      <c r="Y569" s="2" t="s">
        <v>194</v>
      </c>
      <c r="Z569" s="2" t="s">
        <v>88</v>
      </c>
      <c r="AA569" s="23">
        <v>38</v>
      </c>
      <c r="AB569" s="23">
        <v>16</v>
      </c>
      <c r="AC569" s="2">
        <v>0.42105263157894701</v>
      </c>
      <c r="AD569" s="14" t="str">
        <f>VLOOKUP(flu_eth_ep[[#This Row],[trust_code]],trust_lookup[],3,0)</f>
        <v>Marsden</v>
      </c>
      <c r="AE569" s="14" t="str">
        <f>VLOOKUP(flu_eth_ep[[#This Row],[trust_code]],trust_lookup[],4,0)</f>
        <v>Specialist</v>
      </c>
    </row>
    <row r="570" spans="23:31" x14ac:dyDescent="0.35">
      <c r="W570" s="2" t="s">
        <v>179</v>
      </c>
      <c r="X570" s="2" t="s">
        <v>180</v>
      </c>
      <c r="Y570" s="2" t="s">
        <v>194</v>
      </c>
      <c r="Z570" s="2" t="s">
        <v>82</v>
      </c>
      <c r="AA570" s="23">
        <v>40</v>
      </c>
      <c r="AB570" s="23">
        <v>16</v>
      </c>
      <c r="AC570" s="2">
        <v>0.4</v>
      </c>
      <c r="AD570" s="14" t="str">
        <f>VLOOKUP(flu_eth_ep[[#This Row],[trust_code]],trust_lookup[],3,0)</f>
        <v>Marsden</v>
      </c>
      <c r="AE570" s="14" t="str">
        <f>VLOOKUP(flu_eth_ep[[#This Row],[trust_code]],trust_lookup[],4,0)</f>
        <v>Specialist</v>
      </c>
    </row>
    <row r="571" spans="23:31" x14ac:dyDescent="0.35">
      <c r="W571" s="2" t="s">
        <v>179</v>
      </c>
      <c r="X571" s="2" t="s">
        <v>180</v>
      </c>
      <c r="Y571" s="2" t="s">
        <v>194</v>
      </c>
      <c r="Z571" s="2" t="s">
        <v>100</v>
      </c>
      <c r="AA571" s="23">
        <v>236</v>
      </c>
      <c r="AB571" s="23">
        <v>66</v>
      </c>
      <c r="AC571" s="2">
        <v>0.27966101694915202</v>
      </c>
      <c r="AD571" s="14" t="str">
        <f>VLOOKUP(flu_eth_ep[[#This Row],[trust_code]],trust_lookup[],3,0)</f>
        <v>Marsden</v>
      </c>
      <c r="AE571" s="14" t="str">
        <f>VLOOKUP(flu_eth_ep[[#This Row],[trust_code]],trust_lookup[],4,0)</f>
        <v>Specialist</v>
      </c>
    </row>
    <row r="572" spans="23:31" x14ac:dyDescent="0.35">
      <c r="W572" s="2" t="s">
        <v>179</v>
      </c>
      <c r="X572" s="2" t="s">
        <v>180</v>
      </c>
      <c r="Y572" s="2" t="s">
        <v>194</v>
      </c>
      <c r="Z572" s="2" t="s">
        <v>141</v>
      </c>
      <c r="AA572" s="23">
        <v>340</v>
      </c>
      <c r="AB572" s="23">
        <v>170</v>
      </c>
      <c r="AC572" s="2">
        <v>0.5</v>
      </c>
      <c r="AD572" s="14" t="str">
        <f>VLOOKUP(flu_eth_ep[[#This Row],[trust_code]],trust_lookup[],3,0)</f>
        <v>Marsden</v>
      </c>
      <c r="AE572" s="14" t="str">
        <f>VLOOKUP(flu_eth_ep[[#This Row],[trust_code]],trust_lookup[],4,0)</f>
        <v>Specialist</v>
      </c>
    </row>
    <row r="573" spans="23:31" x14ac:dyDescent="0.35">
      <c r="W573" s="2" t="s">
        <v>179</v>
      </c>
      <c r="X573" s="2" t="s">
        <v>180</v>
      </c>
      <c r="Y573" s="2" t="s">
        <v>194</v>
      </c>
      <c r="Z573" s="2" t="s">
        <v>75</v>
      </c>
      <c r="AA573" s="23">
        <v>61</v>
      </c>
      <c r="AB573" s="23">
        <v>18</v>
      </c>
      <c r="AC573" s="2">
        <v>0.29508196721311403</v>
      </c>
      <c r="AD573" s="14" t="str">
        <f>VLOOKUP(flu_eth_ep[[#This Row],[trust_code]],trust_lookup[],3,0)</f>
        <v>Marsden</v>
      </c>
      <c r="AE573" s="14" t="str">
        <f>VLOOKUP(flu_eth_ep[[#This Row],[trust_code]],trust_lookup[],4,0)</f>
        <v>Specialist</v>
      </c>
    </row>
    <row r="574" spans="23:31" x14ac:dyDescent="0.35">
      <c r="W574" s="2" t="s">
        <v>179</v>
      </c>
      <c r="X574" s="2" t="s">
        <v>180</v>
      </c>
      <c r="Y574" s="2" t="s">
        <v>194</v>
      </c>
      <c r="Z574" s="2" t="s">
        <v>36</v>
      </c>
      <c r="AA574" s="23">
        <v>211</v>
      </c>
      <c r="AB574" s="23">
        <v>95</v>
      </c>
      <c r="AC574" s="2">
        <v>0.45023696682464398</v>
      </c>
      <c r="AD574" s="14" t="str">
        <f>VLOOKUP(flu_eth_ep[[#This Row],[trust_code]],trust_lookup[],3,0)</f>
        <v>Marsden</v>
      </c>
      <c r="AE574" s="14" t="str">
        <f>VLOOKUP(flu_eth_ep[[#This Row],[trust_code]],trust_lookup[],4,0)</f>
        <v>Specialist</v>
      </c>
    </row>
    <row r="575" spans="23:31" x14ac:dyDescent="0.35">
      <c r="W575" s="2" t="s">
        <v>179</v>
      </c>
      <c r="X575" s="2" t="s">
        <v>180</v>
      </c>
      <c r="Y575" s="2" t="s">
        <v>194</v>
      </c>
      <c r="Z575" s="2" t="s">
        <v>135</v>
      </c>
      <c r="AA575" s="23">
        <v>60</v>
      </c>
      <c r="AB575" s="23">
        <v>28</v>
      </c>
      <c r="AC575" s="2">
        <v>0.46666666666666601</v>
      </c>
      <c r="AD575" s="14" t="str">
        <f>VLOOKUP(flu_eth_ep[[#This Row],[trust_code]],trust_lookup[],3,0)</f>
        <v>Marsden</v>
      </c>
      <c r="AE575" s="14" t="str">
        <f>VLOOKUP(flu_eth_ep[[#This Row],[trust_code]],trust_lookup[],4,0)</f>
        <v>Specialist</v>
      </c>
    </row>
    <row r="576" spans="23:31" x14ac:dyDescent="0.35">
      <c r="W576" s="2" t="s">
        <v>179</v>
      </c>
      <c r="X576" s="2" t="s">
        <v>180</v>
      </c>
      <c r="Y576" s="2" t="s">
        <v>194</v>
      </c>
      <c r="Z576" s="2" t="s">
        <v>68</v>
      </c>
      <c r="AA576" s="23">
        <v>1224</v>
      </c>
      <c r="AB576" s="23">
        <v>692</v>
      </c>
      <c r="AC576" s="2">
        <v>0.565359477124183</v>
      </c>
      <c r="AD576" s="14" t="str">
        <f>VLOOKUP(flu_eth_ep[[#This Row],[trust_code]],trust_lookup[],3,0)</f>
        <v>Marsden</v>
      </c>
      <c r="AE576" s="14" t="str">
        <f>VLOOKUP(flu_eth_ep[[#This Row],[trust_code]],trust_lookup[],4,0)</f>
        <v>Specialist</v>
      </c>
    </row>
    <row r="577" spans="23:31" x14ac:dyDescent="0.35">
      <c r="W577" s="2" t="s">
        <v>179</v>
      </c>
      <c r="X577" s="2" t="s">
        <v>180</v>
      </c>
      <c r="Y577" s="2" t="s">
        <v>194</v>
      </c>
      <c r="Z577" s="2" t="s">
        <v>47</v>
      </c>
      <c r="AA577" s="23">
        <v>22</v>
      </c>
      <c r="AB577" s="23">
        <v>6</v>
      </c>
      <c r="AC577" s="2">
        <v>0.27272727272727199</v>
      </c>
      <c r="AD577" s="14" t="str">
        <f>VLOOKUP(flu_eth_ep[[#This Row],[trust_code]],trust_lookup[],3,0)</f>
        <v>Marsden</v>
      </c>
      <c r="AE577" s="14" t="str">
        <f>VLOOKUP(flu_eth_ep[[#This Row],[trust_code]],trust_lookup[],4,0)</f>
        <v>Specialist</v>
      </c>
    </row>
    <row r="578" spans="23:31" x14ac:dyDescent="0.35">
      <c r="W578" s="2" t="s">
        <v>179</v>
      </c>
      <c r="X578" s="2" t="s">
        <v>180</v>
      </c>
      <c r="Y578" s="2" t="s">
        <v>194</v>
      </c>
      <c r="Z578" s="2" t="s">
        <v>106</v>
      </c>
      <c r="AA578" s="23">
        <v>66</v>
      </c>
      <c r="AB578" s="23">
        <v>33</v>
      </c>
      <c r="AC578" s="2">
        <v>0.5</v>
      </c>
      <c r="AD578" s="14" t="str">
        <f>VLOOKUP(flu_eth_ep[[#This Row],[trust_code]],trust_lookup[],3,0)</f>
        <v>Marsden</v>
      </c>
      <c r="AE578" s="14" t="str">
        <f>VLOOKUP(flu_eth_ep[[#This Row],[trust_code]],trust_lookup[],4,0)</f>
        <v>Specialist</v>
      </c>
    </row>
    <row r="579" spans="23:31" x14ac:dyDescent="0.35">
      <c r="W579" s="2" t="s">
        <v>179</v>
      </c>
      <c r="X579" s="2" t="s">
        <v>180</v>
      </c>
      <c r="Y579" s="2" t="s">
        <v>194</v>
      </c>
      <c r="Z579" s="2" t="s">
        <v>61</v>
      </c>
      <c r="AA579" s="23">
        <v>58</v>
      </c>
      <c r="AB579" s="23">
        <v>10</v>
      </c>
      <c r="AC579" s="2">
        <v>0.17241379310344801</v>
      </c>
      <c r="AD579" s="14" t="str">
        <f>VLOOKUP(flu_eth_ep[[#This Row],[trust_code]],trust_lookup[],3,0)</f>
        <v>Marsden</v>
      </c>
      <c r="AE579" s="14" t="str">
        <f>VLOOKUP(flu_eth_ep[[#This Row],[trust_code]],trust_lookup[],4,0)</f>
        <v>Specialist</v>
      </c>
    </row>
    <row r="580" spans="23:31" x14ac:dyDescent="0.35">
      <c r="W580" s="2" t="s">
        <v>179</v>
      </c>
      <c r="X580" s="2" t="s">
        <v>180</v>
      </c>
      <c r="Y580" s="2" t="s">
        <v>194</v>
      </c>
      <c r="Z580" s="2" t="s">
        <v>129</v>
      </c>
      <c r="AA580" s="23">
        <v>9</v>
      </c>
      <c r="AB580" s="23">
        <v>2</v>
      </c>
      <c r="AC580" s="2">
        <v>0.22222222222222199</v>
      </c>
      <c r="AD580" s="14" t="str">
        <f>VLOOKUP(flu_eth_ep[[#This Row],[trust_code]],trust_lookup[],3,0)</f>
        <v>Marsden</v>
      </c>
      <c r="AE580" s="14" t="str">
        <f>VLOOKUP(flu_eth_ep[[#This Row],[trust_code]],trust_lookup[],4,0)</f>
        <v>Specialist</v>
      </c>
    </row>
    <row r="581" spans="23:31" x14ac:dyDescent="0.35">
      <c r="W581" s="2" t="s">
        <v>170</v>
      </c>
      <c r="X581" s="2" t="s">
        <v>171</v>
      </c>
      <c r="Y581" s="2" t="s">
        <v>194</v>
      </c>
      <c r="Z581" s="2" t="s">
        <v>100</v>
      </c>
      <c r="AA581" s="23">
        <v>777</v>
      </c>
      <c r="AB581" s="23">
        <v>175</v>
      </c>
      <c r="AC581" s="2">
        <v>0.22522522522522501</v>
      </c>
      <c r="AD581" s="14" t="str">
        <f>VLOOKUP(flu_eth_ep[[#This Row],[trust_code]],trust_lookup[],3,0)</f>
        <v>St George's</v>
      </c>
      <c r="AE581" s="14" t="str">
        <f>VLOOKUP(flu_eth_ep[[#This Row],[trust_code]],trust_lookup[],4,0)</f>
        <v>Acute</v>
      </c>
    </row>
    <row r="582" spans="23:31" x14ac:dyDescent="0.35">
      <c r="W582" s="2" t="s">
        <v>170</v>
      </c>
      <c r="X582" s="2" t="s">
        <v>171</v>
      </c>
      <c r="Y582" s="2" t="s">
        <v>194</v>
      </c>
      <c r="Z582" s="2" t="s">
        <v>36</v>
      </c>
      <c r="AA582" s="23">
        <v>11</v>
      </c>
      <c r="AB582" s="23">
        <v>4</v>
      </c>
      <c r="AC582" s="2">
        <v>0.36363636363636298</v>
      </c>
      <c r="AD582" s="14" t="str">
        <f>VLOOKUP(flu_eth_ep[[#This Row],[trust_code]],trust_lookup[],3,0)</f>
        <v>St George's</v>
      </c>
      <c r="AE582" s="14" t="str">
        <f>VLOOKUP(flu_eth_ep[[#This Row],[trust_code]],trust_lookup[],4,0)</f>
        <v>Acute</v>
      </c>
    </row>
    <row r="583" spans="23:31" x14ac:dyDescent="0.35">
      <c r="W583" s="2" t="s">
        <v>170</v>
      </c>
      <c r="X583" s="2" t="s">
        <v>171</v>
      </c>
      <c r="Y583" s="2" t="s">
        <v>194</v>
      </c>
      <c r="Z583" s="2" t="s">
        <v>47</v>
      </c>
      <c r="AA583" s="23">
        <v>68</v>
      </c>
      <c r="AB583" s="23">
        <v>12</v>
      </c>
      <c r="AC583" s="2">
        <v>0.17647058823529399</v>
      </c>
      <c r="AD583" s="14" t="str">
        <f>VLOOKUP(flu_eth_ep[[#This Row],[trust_code]],trust_lookup[],3,0)</f>
        <v>St George's</v>
      </c>
      <c r="AE583" s="14" t="str">
        <f>VLOOKUP(flu_eth_ep[[#This Row],[trust_code]],trust_lookup[],4,0)</f>
        <v>Acute</v>
      </c>
    </row>
    <row r="584" spans="23:31" x14ac:dyDescent="0.35">
      <c r="W584" s="2" t="s">
        <v>170</v>
      </c>
      <c r="X584" s="2" t="s">
        <v>171</v>
      </c>
      <c r="Y584" s="2" t="s">
        <v>194</v>
      </c>
      <c r="Z584" s="2" t="s">
        <v>36</v>
      </c>
      <c r="AA584" s="23">
        <v>130</v>
      </c>
      <c r="AB584" s="23">
        <v>55</v>
      </c>
      <c r="AC584" s="2">
        <v>0.42307692307692302</v>
      </c>
      <c r="AD584" s="14" t="str">
        <f>VLOOKUP(flu_eth_ep[[#This Row],[trust_code]],trust_lookup[],3,0)</f>
        <v>St George's</v>
      </c>
      <c r="AE584" s="14" t="str">
        <f>VLOOKUP(flu_eth_ep[[#This Row],[trust_code]],trust_lookup[],4,0)</f>
        <v>Acute</v>
      </c>
    </row>
    <row r="585" spans="23:31" x14ac:dyDescent="0.35">
      <c r="W585" s="2" t="s">
        <v>170</v>
      </c>
      <c r="X585" s="2" t="s">
        <v>171</v>
      </c>
      <c r="Y585" s="2" t="s">
        <v>194</v>
      </c>
      <c r="Z585" s="2" t="s">
        <v>94</v>
      </c>
      <c r="AA585" s="23">
        <v>51</v>
      </c>
      <c r="AB585" s="23">
        <v>21</v>
      </c>
      <c r="AC585" s="2">
        <v>0.41176470588235198</v>
      </c>
      <c r="AD585" s="14" t="str">
        <f>VLOOKUP(flu_eth_ep[[#This Row],[trust_code]],trust_lookup[],3,0)</f>
        <v>St George's</v>
      </c>
      <c r="AE585" s="14" t="str">
        <f>VLOOKUP(flu_eth_ep[[#This Row],[trust_code]],trust_lookup[],4,0)</f>
        <v>Acute</v>
      </c>
    </row>
    <row r="586" spans="23:31" x14ac:dyDescent="0.35">
      <c r="W586" s="2" t="s">
        <v>170</v>
      </c>
      <c r="X586" s="2" t="s">
        <v>171</v>
      </c>
      <c r="Y586" s="2" t="s">
        <v>194</v>
      </c>
      <c r="Z586" s="2" t="s">
        <v>141</v>
      </c>
      <c r="AA586" s="23">
        <v>859</v>
      </c>
      <c r="AB586" s="23">
        <v>360</v>
      </c>
      <c r="AC586" s="2">
        <v>0.41909196740395799</v>
      </c>
      <c r="AD586" s="14" t="str">
        <f>VLOOKUP(flu_eth_ep[[#This Row],[trust_code]],trust_lookup[],3,0)</f>
        <v>St George's</v>
      </c>
      <c r="AE586" s="14" t="str">
        <f>VLOOKUP(flu_eth_ep[[#This Row],[trust_code]],trust_lookup[],4,0)</f>
        <v>Acute</v>
      </c>
    </row>
    <row r="587" spans="23:31" x14ac:dyDescent="0.35">
      <c r="W587" s="2" t="s">
        <v>170</v>
      </c>
      <c r="X587" s="2" t="s">
        <v>171</v>
      </c>
      <c r="Y587" s="2" t="s">
        <v>194</v>
      </c>
      <c r="Z587" s="2" t="s">
        <v>75</v>
      </c>
      <c r="AA587" s="23">
        <v>226</v>
      </c>
      <c r="AB587" s="23">
        <v>45</v>
      </c>
      <c r="AC587" s="2">
        <v>0.199115044247787</v>
      </c>
      <c r="AD587" s="14" t="str">
        <f>VLOOKUP(flu_eth_ep[[#This Row],[trust_code]],trust_lookup[],3,0)</f>
        <v>St George's</v>
      </c>
      <c r="AE587" s="14" t="str">
        <f>VLOOKUP(flu_eth_ep[[#This Row],[trust_code]],trust_lookup[],4,0)</f>
        <v>Acute</v>
      </c>
    </row>
    <row r="588" spans="23:31" x14ac:dyDescent="0.35">
      <c r="W588" s="2" t="s">
        <v>170</v>
      </c>
      <c r="X588" s="2" t="s">
        <v>171</v>
      </c>
      <c r="Y588" s="2" t="s">
        <v>194</v>
      </c>
      <c r="Z588" s="2" t="s">
        <v>123</v>
      </c>
      <c r="AA588" s="23">
        <v>570</v>
      </c>
      <c r="AB588" s="23">
        <v>202</v>
      </c>
      <c r="AC588" s="2">
        <v>0.35438596491228003</v>
      </c>
      <c r="AD588" s="14" t="str">
        <f>VLOOKUP(flu_eth_ep[[#This Row],[trust_code]],trust_lookup[],3,0)</f>
        <v>St George's</v>
      </c>
      <c r="AE588" s="14" t="str">
        <f>VLOOKUP(flu_eth_ep[[#This Row],[trust_code]],trust_lookup[],4,0)</f>
        <v>Acute</v>
      </c>
    </row>
    <row r="589" spans="23:31" x14ac:dyDescent="0.35">
      <c r="W589" s="2" t="s">
        <v>170</v>
      </c>
      <c r="X589" s="2" t="s">
        <v>171</v>
      </c>
      <c r="Y589" s="2" t="s">
        <v>194</v>
      </c>
      <c r="Z589" s="2" t="s">
        <v>36</v>
      </c>
      <c r="AA589" s="23">
        <v>41</v>
      </c>
      <c r="AB589" s="23">
        <v>16</v>
      </c>
      <c r="AC589" s="2">
        <v>0.39024390243902402</v>
      </c>
      <c r="AD589" s="14" t="str">
        <f>VLOOKUP(flu_eth_ep[[#This Row],[trust_code]],trust_lookup[],3,0)</f>
        <v>St George's</v>
      </c>
      <c r="AE589" s="14" t="str">
        <f>VLOOKUP(flu_eth_ep[[#This Row],[trust_code]],trust_lookup[],4,0)</f>
        <v>Acute</v>
      </c>
    </row>
    <row r="590" spans="23:31" x14ac:dyDescent="0.35">
      <c r="W590" s="2" t="s">
        <v>170</v>
      </c>
      <c r="X590" s="2" t="s">
        <v>171</v>
      </c>
      <c r="Y590" s="2" t="s">
        <v>194</v>
      </c>
      <c r="Z590" s="2" t="s">
        <v>54</v>
      </c>
      <c r="AA590" s="23">
        <v>812</v>
      </c>
      <c r="AB590" s="23">
        <v>332</v>
      </c>
      <c r="AC590" s="2">
        <v>0.40886699507389102</v>
      </c>
      <c r="AD590" s="14" t="str">
        <f>VLOOKUP(flu_eth_ep[[#This Row],[trust_code]],trust_lookup[],3,0)</f>
        <v>St George's</v>
      </c>
      <c r="AE590" s="14" t="str">
        <f>VLOOKUP(flu_eth_ep[[#This Row],[trust_code]],trust_lookup[],4,0)</f>
        <v>Acute</v>
      </c>
    </row>
    <row r="591" spans="23:31" x14ac:dyDescent="0.35">
      <c r="W591" s="2" t="s">
        <v>170</v>
      </c>
      <c r="X591" s="2" t="s">
        <v>171</v>
      </c>
      <c r="Y591" s="2" t="s">
        <v>194</v>
      </c>
      <c r="Z591" s="2" t="s">
        <v>88</v>
      </c>
      <c r="AA591" s="23">
        <v>67</v>
      </c>
      <c r="AB591" s="23">
        <v>19</v>
      </c>
      <c r="AC591" s="2">
        <v>0.28358208955223801</v>
      </c>
      <c r="AD591" s="14" t="str">
        <f>VLOOKUP(flu_eth_ep[[#This Row],[trust_code]],trust_lookup[],3,0)</f>
        <v>St George's</v>
      </c>
      <c r="AE591" s="14" t="str">
        <f>VLOOKUP(flu_eth_ep[[#This Row],[trust_code]],trust_lookup[],4,0)</f>
        <v>Acute</v>
      </c>
    </row>
    <row r="592" spans="23:31" x14ac:dyDescent="0.35">
      <c r="W592" s="2" t="s">
        <v>170</v>
      </c>
      <c r="X592" s="2" t="s">
        <v>171</v>
      </c>
      <c r="Y592" s="2" t="s">
        <v>194</v>
      </c>
      <c r="Z592" s="2" t="s">
        <v>135</v>
      </c>
      <c r="AA592" s="23">
        <v>127</v>
      </c>
      <c r="AB592" s="23">
        <v>68</v>
      </c>
      <c r="AC592" s="2">
        <v>0.535433070866141</v>
      </c>
      <c r="AD592" s="14" t="str">
        <f>VLOOKUP(flu_eth_ep[[#This Row],[trust_code]],trust_lookup[],3,0)</f>
        <v>St George's</v>
      </c>
      <c r="AE592" s="14" t="str">
        <f>VLOOKUP(flu_eth_ep[[#This Row],[trust_code]],trust_lookup[],4,0)</f>
        <v>Acute</v>
      </c>
    </row>
    <row r="593" spans="23:31" x14ac:dyDescent="0.35">
      <c r="W593" s="2" t="s">
        <v>170</v>
      </c>
      <c r="X593" s="2" t="s">
        <v>171</v>
      </c>
      <c r="Y593" s="2" t="s">
        <v>194</v>
      </c>
      <c r="Z593" s="2" t="s">
        <v>106</v>
      </c>
      <c r="AA593" s="23">
        <v>102</v>
      </c>
      <c r="AB593" s="23">
        <v>51</v>
      </c>
      <c r="AC593" s="2">
        <v>0.5</v>
      </c>
      <c r="AD593" s="14" t="str">
        <f>VLOOKUP(flu_eth_ep[[#This Row],[trust_code]],trust_lookup[],3,0)</f>
        <v>St George's</v>
      </c>
      <c r="AE593" s="14" t="str">
        <f>VLOOKUP(flu_eth_ep[[#This Row],[trust_code]],trust_lookup[],4,0)</f>
        <v>Acute</v>
      </c>
    </row>
    <row r="594" spans="23:31" x14ac:dyDescent="0.35">
      <c r="W594" s="2" t="s">
        <v>179</v>
      </c>
      <c r="X594" s="2" t="s">
        <v>180</v>
      </c>
      <c r="Y594" s="2" t="s">
        <v>194</v>
      </c>
      <c r="Z594" s="2" t="s">
        <v>112</v>
      </c>
      <c r="AA594" s="23">
        <v>252</v>
      </c>
      <c r="AB594" s="23">
        <v>105</v>
      </c>
      <c r="AC594" s="2">
        <v>0.41666666666666602</v>
      </c>
      <c r="AD594" s="14" t="str">
        <f>VLOOKUP(flu_eth_ep[[#This Row],[trust_code]],trust_lookup[],3,0)</f>
        <v>Marsden</v>
      </c>
      <c r="AE594" s="14" t="str">
        <f>VLOOKUP(flu_eth_ep[[#This Row],[trust_code]],trust_lookup[],4,0)</f>
        <v>Specialist</v>
      </c>
    </row>
    <row r="595" spans="23:31" x14ac:dyDescent="0.35">
      <c r="W595" s="2" t="s">
        <v>179</v>
      </c>
      <c r="X595" s="2" t="s">
        <v>180</v>
      </c>
      <c r="Y595" s="2" t="s">
        <v>194</v>
      </c>
      <c r="Z595" s="2" t="s">
        <v>54</v>
      </c>
      <c r="AA595" s="23">
        <v>463</v>
      </c>
      <c r="AB595" s="23">
        <v>192</v>
      </c>
      <c r="AC595" s="2">
        <v>0.41468682505399501</v>
      </c>
      <c r="AD595" s="14" t="str">
        <f>VLOOKUP(flu_eth_ep[[#This Row],[trust_code]],trust_lookup[],3,0)</f>
        <v>Marsden</v>
      </c>
      <c r="AE595" s="14" t="str">
        <f>VLOOKUP(flu_eth_ep[[#This Row],[trust_code]],trust_lookup[],4,0)</f>
        <v>Specialist</v>
      </c>
    </row>
    <row r="596" spans="23:31" x14ac:dyDescent="0.35">
      <c r="W596" s="2" t="s">
        <v>179</v>
      </c>
      <c r="X596" s="2" t="s">
        <v>180</v>
      </c>
      <c r="Y596" s="2" t="s">
        <v>194</v>
      </c>
      <c r="Z596" s="2" t="s">
        <v>123</v>
      </c>
      <c r="AA596" s="23">
        <v>234</v>
      </c>
      <c r="AB596" s="23">
        <v>90</v>
      </c>
      <c r="AC596" s="2">
        <v>0.38461538461538403</v>
      </c>
      <c r="AD596" s="14" t="str">
        <f>VLOOKUP(flu_eth_ep[[#This Row],[trust_code]],trust_lookup[],3,0)</f>
        <v>Marsden</v>
      </c>
      <c r="AE596" s="14" t="str">
        <f>VLOOKUP(flu_eth_ep[[#This Row],[trust_code]],trust_lookup[],4,0)</f>
        <v>Specialist</v>
      </c>
    </row>
    <row r="597" spans="23:31" x14ac:dyDescent="0.35">
      <c r="W597" s="2" t="s">
        <v>179</v>
      </c>
      <c r="X597" s="2" t="s">
        <v>180</v>
      </c>
      <c r="Y597" s="2" t="s">
        <v>194</v>
      </c>
      <c r="Z597" s="2" t="s">
        <v>29</v>
      </c>
      <c r="AA597" s="23">
        <v>66</v>
      </c>
      <c r="AB597" s="23">
        <v>23</v>
      </c>
      <c r="AC597" s="2">
        <v>0.34848484848484801</v>
      </c>
      <c r="AD597" s="14" t="str">
        <f>VLOOKUP(flu_eth_ep[[#This Row],[trust_code]],trust_lookup[],3,0)</f>
        <v>Marsden</v>
      </c>
      <c r="AE597" s="14" t="str">
        <f>VLOOKUP(flu_eth_ep[[#This Row],[trust_code]],trust_lookup[],4,0)</f>
        <v>Specialist</v>
      </c>
    </row>
    <row r="598" spans="23:31" x14ac:dyDescent="0.35">
      <c r="W598" s="2" t="s">
        <v>179</v>
      </c>
      <c r="X598" s="2" t="s">
        <v>180</v>
      </c>
      <c r="Y598" s="2" t="s">
        <v>194</v>
      </c>
      <c r="Z598" s="2" t="s">
        <v>36</v>
      </c>
      <c r="AA598" s="23">
        <v>9</v>
      </c>
      <c r="AB598" s="23">
        <v>2</v>
      </c>
      <c r="AC598" s="2">
        <v>0.22222222222222199</v>
      </c>
      <c r="AD598" s="14" t="str">
        <f>VLOOKUP(flu_eth_ep[[#This Row],[trust_code]],trust_lookup[],3,0)</f>
        <v>Marsden</v>
      </c>
      <c r="AE598" s="14" t="str">
        <f>VLOOKUP(flu_eth_ep[[#This Row],[trust_code]],trust_lookup[],4,0)</f>
        <v>Specialist</v>
      </c>
    </row>
    <row r="599" spans="23:31" x14ac:dyDescent="0.35">
      <c r="W599" s="2" t="s">
        <v>179</v>
      </c>
      <c r="X599" s="2" t="s">
        <v>180</v>
      </c>
      <c r="Y599" s="2" t="s">
        <v>194</v>
      </c>
      <c r="Z599" s="2" t="s">
        <v>94</v>
      </c>
      <c r="AA599" s="23">
        <v>29</v>
      </c>
      <c r="AB599" s="23">
        <v>20</v>
      </c>
      <c r="AC599" s="2">
        <v>0.68965517241379304</v>
      </c>
      <c r="AD599" s="14" t="str">
        <f>VLOOKUP(flu_eth_ep[[#This Row],[trust_code]],trust_lookup[],3,0)</f>
        <v>Marsden</v>
      </c>
      <c r="AE599" s="14" t="str">
        <f>VLOOKUP(flu_eth_ep[[#This Row],[trust_code]],trust_lookup[],4,0)</f>
        <v>Specialist</v>
      </c>
    </row>
    <row r="600" spans="23:31" x14ac:dyDescent="0.35">
      <c r="W600" s="2" t="s">
        <v>179</v>
      </c>
      <c r="X600" s="2" t="s">
        <v>180</v>
      </c>
      <c r="Y600" s="2" t="s">
        <v>194</v>
      </c>
      <c r="Z600" s="2" t="s">
        <v>88</v>
      </c>
      <c r="AA600" s="23">
        <v>39</v>
      </c>
      <c r="AB600" s="23">
        <v>17</v>
      </c>
      <c r="AC600" s="2">
        <v>0.43589743589743501</v>
      </c>
      <c r="AD600" s="14" t="str">
        <f>VLOOKUP(flu_eth_ep[[#This Row],[trust_code]],trust_lookup[],3,0)</f>
        <v>Marsden</v>
      </c>
      <c r="AE600" s="14" t="str">
        <f>VLOOKUP(flu_eth_ep[[#This Row],[trust_code]],trust_lookup[],4,0)</f>
        <v>Specialist</v>
      </c>
    </row>
    <row r="601" spans="23:31" x14ac:dyDescent="0.35">
      <c r="W601" s="2" t="s">
        <v>179</v>
      </c>
      <c r="X601" s="2" t="s">
        <v>180</v>
      </c>
      <c r="Y601" s="2" t="s">
        <v>194</v>
      </c>
      <c r="Z601" s="2" t="s">
        <v>82</v>
      </c>
      <c r="AA601" s="23">
        <v>42</v>
      </c>
      <c r="AB601" s="23">
        <v>17</v>
      </c>
      <c r="AC601" s="2">
        <v>0.40476190476190399</v>
      </c>
      <c r="AD601" s="14" t="str">
        <f>VLOOKUP(flu_eth_ep[[#This Row],[trust_code]],trust_lookup[],3,0)</f>
        <v>Marsden</v>
      </c>
      <c r="AE601" s="14" t="str">
        <f>VLOOKUP(flu_eth_ep[[#This Row],[trust_code]],trust_lookup[],4,0)</f>
        <v>Specialist</v>
      </c>
    </row>
    <row r="602" spans="23:31" x14ac:dyDescent="0.35">
      <c r="W602" s="2" t="s">
        <v>179</v>
      </c>
      <c r="X602" s="2" t="s">
        <v>180</v>
      </c>
      <c r="Y602" s="2" t="s">
        <v>194</v>
      </c>
      <c r="Z602" s="2" t="s">
        <v>100</v>
      </c>
      <c r="AA602" s="23">
        <v>241</v>
      </c>
      <c r="AB602" s="23">
        <v>66</v>
      </c>
      <c r="AC602" s="2">
        <v>0.27385892116182498</v>
      </c>
      <c r="AD602" s="14" t="str">
        <f>VLOOKUP(flu_eth_ep[[#This Row],[trust_code]],trust_lookup[],3,0)</f>
        <v>Marsden</v>
      </c>
      <c r="AE602" s="14" t="str">
        <f>VLOOKUP(flu_eth_ep[[#This Row],[trust_code]],trust_lookup[],4,0)</f>
        <v>Specialist</v>
      </c>
    </row>
    <row r="603" spans="23:31" x14ac:dyDescent="0.35">
      <c r="W603" s="2" t="s">
        <v>179</v>
      </c>
      <c r="X603" s="2" t="s">
        <v>180</v>
      </c>
      <c r="Y603" s="2" t="s">
        <v>194</v>
      </c>
      <c r="Z603" s="2" t="s">
        <v>141</v>
      </c>
      <c r="AA603" s="23">
        <v>346</v>
      </c>
      <c r="AB603" s="23">
        <v>167</v>
      </c>
      <c r="AC603" s="2">
        <v>0.48265895953757199</v>
      </c>
      <c r="AD603" s="14" t="str">
        <f>VLOOKUP(flu_eth_ep[[#This Row],[trust_code]],trust_lookup[],3,0)</f>
        <v>Marsden</v>
      </c>
      <c r="AE603" s="14" t="str">
        <f>VLOOKUP(flu_eth_ep[[#This Row],[trust_code]],trust_lookup[],4,0)</f>
        <v>Specialist</v>
      </c>
    </row>
    <row r="604" spans="23:31" x14ac:dyDescent="0.35">
      <c r="W604" s="2" t="s">
        <v>179</v>
      </c>
      <c r="X604" s="2" t="s">
        <v>180</v>
      </c>
      <c r="Y604" s="2" t="s">
        <v>194</v>
      </c>
      <c r="Z604" s="2" t="s">
        <v>75</v>
      </c>
      <c r="AA604" s="23">
        <v>67</v>
      </c>
      <c r="AB604" s="23">
        <v>22</v>
      </c>
      <c r="AC604" s="2">
        <v>0.328358208955223</v>
      </c>
      <c r="AD604" s="14" t="str">
        <f>VLOOKUP(flu_eth_ep[[#This Row],[trust_code]],trust_lookup[],3,0)</f>
        <v>Marsden</v>
      </c>
      <c r="AE604" s="14" t="str">
        <f>VLOOKUP(flu_eth_ep[[#This Row],[trust_code]],trust_lookup[],4,0)</f>
        <v>Specialist</v>
      </c>
    </row>
    <row r="605" spans="23:31" x14ac:dyDescent="0.35">
      <c r="W605" s="2" t="s">
        <v>179</v>
      </c>
      <c r="X605" s="2" t="s">
        <v>180</v>
      </c>
      <c r="Y605" s="2" t="s">
        <v>194</v>
      </c>
      <c r="Z605" s="2" t="s">
        <v>36</v>
      </c>
      <c r="AA605" s="23">
        <v>95</v>
      </c>
      <c r="AB605" s="23">
        <v>40</v>
      </c>
      <c r="AC605" s="2">
        <v>0.42105263157894701</v>
      </c>
      <c r="AD605" s="14" t="str">
        <f>VLOOKUP(flu_eth_ep[[#This Row],[trust_code]],trust_lookup[],3,0)</f>
        <v>Marsden</v>
      </c>
      <c r="AE605" s="14" t="str">
        <f>VLOOKUP(flu_eth_ep[[#This Row],[trust_code]],trust_lookup[],4,0)</f>
        <v>Specialist</v>
      </c>
    </row>
    <row r="606" spans="23:31" x14ac:dyDescent="0.35">
      <c r="W606" s="2" t="s">
        <v>179</v>
      </c>
      <c r="X606" s="2" t="s">
        <v>180</v>
      </c>
      <c r="Y606" s="2" t="s">
        <v>194</v>
      </c>
      <c r="Z606" s="2" t="s">
        <v>135</v>
      </c>
      <c r="AA606" s="23">
        <v>66</v>
      </c>
      <c r="AB606" s="23">
        <v>31</v>
      </c>
      <c r="AC606" s="2">
        <v>0.469696969696969</v>
      </c>
      <c r="AD606" s="14" t="str">
        <f>VLOOKUP(flu_eth_ep[[#This Row],[trust_code]],trust_lookup[],3,0)</f>
        <v>Marsden</v>
      </c>
      <c r="AE606" s="14" t="str">
        <f>VLOOKUP(flu_eth_ep[[#This Row],[trust_code]],trust_lookup[],4,0)</f>
        <v>Specialist</v>
      </c>
    </row>
    <row r="607" spans="23:31" x14ac:dyDescent="0.35">
      <c r="W607" s="2" t="s">
        <v>179</v>
      </c>
      <c r="X607" s="2" t="s">
        <v>180</v>
      </c>
      <c r="Y607" s="2" t="s">
        <v>194</v>
      </c>
      <c r="Z607" s="2" t="s">
        <v>68</v>
      </c>
      <c r="AA607" s="23">
        <v>1259</v>
      </c>
      <c r="AB607" s="23">
        <v>716</v>
      </c>
      <c r="AC607" s="2">
        <v>0.568705321683876</v>
      </c>
      <c r="AD607" s="14" t="str">
        <f>VLOOKUP(flu_eth_ep[[#This Row],[trust_code]],trust_lookup[],3,0)</f>
        <v>Marsden</v>
      </c>
      <c r="AE607" s="14" t="str">
        <f>VLOOKUP(flu_eth_ep[[#This Row],[trust_code]],trust_lookup[],4,0)</f>
        <v>Specialist</v>
      </c>
    </row>
    <row r="608" spans="23:31" x14ac:dyDescent="0.35">
      <c r="W608" s="2" t="s">
        <v>179</v>
      </c>
      <c r="X608" s="2" t="s">
        <v>180</v>
      </c>
      <c r="Y608" s="2" t="s">
        <v>194</v>
      </c>
      <c r="Z608" s="2" t="s">
        <v>36</v>
      </c>
      <c r="AA608" s="23">
        <v>34</v>
      </c>
      <c r="AB608" s="23">
        <v>14</v>
      </c>
      <c r="AC608" s="2">
        <v>0.41176470588235198</v>
      </c>
      <c r="AD608" s="14" t="str">
        <f>VLOOKUP(flu_eth_ep[[#This Row],[trust_code]],trust_lookup[],3,0)</f>
        <v>Marsden</v>
      </c>
      <c r="AE608" s="14" t="str">
        <f>VLOOKUP(flu_eth_ep[[#This Row],[trust_code]],trust_lookup[],4,0)</f>
        <v>Specialist</v>
      </c>
    </row>
    <row r="609" spans="23:31" x14ac:dyDescent="0.35">
      <c r="W609" s="2" t="s">
        <v>179</v>
      </c>
      <c r="X609" s="2" t="s">
        <v>180</v>
      </c>
      <c r="Y609" s="2" t="s">
        <v>194</v>
      </c>
      <c r="Z609" s="2" t="s">
        <v>47</v>
      </c>
      <c r="AA609" s="23">
        <v>24</v>
      </c>
      <c r="AB609" s="23">
        <v>7</v>
      </c>
      <c r="AC609" s="2">
        <v>0.29166666666666602</v>
      </c>
      <c r="AD609" s="14" t="str">
        <f>VLOOKUP(flu_eth_ep[[#This Row],[trust_code]],trust_lookup[],3,0)</f>
        <v>Marsden</v>
      </c>
      <c r="AE609" s="14" t="str">
        <f>VLOOKUP(flu_eth_ep[[#This Row],[trust_code]],trust_lookup[],4,0)</f>
        <v>Specialist</v>
      </c>
    </row>
    <row r="610" spans="23:31" x14ac:dyDescent="0.35">
      <c r="W610" s="2" t="s">
        <v>179</v>
      </c>
      <c r="X610" s="2" t="s">
        <v>180</v>
      </c>
      <c r="Y610" s="2" t="s">
        <v>194</v>
      </c>
      <c r="Z610" s="2" t="s">
        <v>106</v>
      </c>
      <c r="AA610" s="23">
        <v>66</v>
      </c>
      <c r="AB610" s="23">
        <v>33</v>
      </c>
      <c r="AC610" s="2">
        <v>0.5</v>
      </c>
      <c r="AD610" s="14" t="str">
        <f>VLOOKUP(flu_eth_ep[[#This Row],[trust_code]],trust_lookup[],3,0)</f>
        <v>Marsden</v>
      </c>
      <c r="AE610" s="14" t="str">
        <f>VLOOKUP(flu_eth_ep[[#This Row],[trust_code]],trust_lookup[],4,0)</f>
        <v>Specialist</v>
      </c>
    </row>
    <row r="611" spans="23:31" x14ac:dyDescent="0.35">
      <c r="W611" s="2" t="s">
        <v>179</v>
      </c>
      <c r="X611" s="2" t="s">
        <v>180</v>
      </c>
      <c r="Y611" s="2" t="s">
        <v>194</v>
      </c>
      <c r="Z611" s="2" t="s">
        <v>61</v>
      </c>
      <c r="AA611" s="23">
        <v>60</v>
      </c>
      <c r="AB611" s="23">
        <v>11</v>
      </c>
      <c r="AC611" s="2">
        <v>0.18333333333333299</v>
      </c>
      <c r="AD611" s="14" t="str">
        <f>VLOOKUP(flu_eth_ep[[#This Row],[trust_code]],trust_lookup[],3,0)</f>
        <v>Marsden</v>
      </c>
      <c r="AE611" s="14" t="str">
        <f>VLOOKUP(flu_eth_ep[[#This Row],[trust_code]],trust_lookup[],4,0)</f>
        <v>Specialist</v>
      </c>
    </row>
    <row r="612" spans="23:31" x14ac:dyDescent="0.35">
      <c r="W612" s="2" t="s">
        <v>179</v>
      </c>
      <c r="X612" s="2" t="s">
        <v>180</v>
      </c>
      <c r="Y612" s="2" t="s">
        <v>194</v>
      </c>
      <c r="Z612" s="2" t="s">
        <v>129</v>
      </c>
      <c r="AA612" s="23">
        <v>9</v>
      </c>
      <c r="AB612" s="23">
        <v>2</v>
      </c>
      <c r="AC612" s="2">
        <v>0.22222222222222199</v>
      </c>
      <c r="AD612" s="14" t="str">
        <f>VLOOKUP(flu_eth_ep[[#This Row],[trust_code]],trust_lookup[],3,0)</f>
        <v>Marsden</v>
      </c>
      <c r="AE612" s="14" t="str">
        <f>VLOOKUP(flu_eth_ep[[#This Row],[trust_code]],trust_lookup[],4,0)</f>
        <v>Specialist</v>
      </c>
    </row>
  </sheetData>
  <phoneticPr fontId="2" type="noConversion"/>
  <hyperlinks>
    <hyperlink ref="A1" r:id="rId1" xr:uid="{7DC743B7-2CD8-4825-A185-2726E7F8709F}"/>
  </hyperlinks>
  <pageMargins left="0.7" right="0.7" top="0.75" bottom="0.75" header="0.3" footer="0.3"/>
  <tableParts count="4">
    <tablePart r:id="rId2"/>
    <tablePart r:id="rId3"/>
    <tablePart r:id="rId4"/>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E2A94-32DC-47CC-A767-F7D21E39CE60}">
  <sheetPr>
    <tabColor theme="8"/>
  </sheetPr>
  <dimension ref="A2:AM270"/>
  <sheetViews>
    <sheetView showGridLines="0" topLeftCell="Q1" zoomScale="90" zoomScaleNormal="90" workbookViewId="0"/>
  </sheetViews>
  <sheetFormatPr defaultColWidth="8.81640625" defaultRowHeight="14.5" outlineLevelCol="1" x14ac:dyDescent="0.35"/>
  <cols>
    <col min="1" max="1" width="8.81640625" style="2" hidden="1" customWidth="1" outlineLevel="1"/>
    <col min="2" max="14" width="10.81640625" style="2" hidden="1" customWidth="1" outlineLevel="1"/>
    <col min="15" max="16" width="8.81640625" style="2" hidden="1" customWidth="1" outlineLevel="1"/>
    <col min="17" max="17" width="8.81640625" style="2" collapsed="1"/>
    <col min="18" max="16384" width="8.81640625" style="2"/>
  </cols>
  <sheetData>
    <row r="2" spans="2:39" x14ac:dyDescent="0.35">
      <c r="AL2" s="84" t="s">
        <v>580</v>
      </c>
      <c r="AM2" s="84"/>
    </row>
    <row r="3" spans="2:39" x14ac:dyDescent="0.35">
      <c r="AL3" s="85" t="s">
        <v>32</v>
      </c>
      <c r="AM3" s="86"/>
    </row>
    <row r="6" spans="2:39" x14ac:dyDescent="0.35">
      <c r="E6" s="2" t="s">
        <v>27</v>
      </c>
      <c r="F6" s="2" t="s">
        <v>27</v>
      </c>
      <c r="G6" s="2" t="s">
        <v>190</v>
      </c>
      <c r="H6" s="2" t="s">
        <v>190</v>
      </c>
      <c r="I6" s="2" t="s">
        <v>192</v>
      </c>
      <c r="J6" s="2" t="s">
        <v>192</v>
      </c>
      <c r="K6" s="2" t="s">
        <v>193</v>
      </c>
      <c r="L6" s="2" t="s">
        <v>193</v>
      </c>
      <c r="M6" s="2" t="s">
        <v>194</v>
      </c>
      <c r="N6" s="2" t="s">
        <v>194</v>
      </c>
      <c r="O6" s="2" t="str">
        <f>$AL$3</f>
        <v>BHR</v>
      </c>
      <c r="P6" s="2" t="str">
        <f>$AL$3</f>
        <v>BHR</v>
      </c>
    </row>
    <row r="7" spans="2:39" x14ac:dyDescent="0.35">
      <c r="B7" s="2" t="s">
        <v>552</v>
      </c>
      <c r="C7" s="2" t="s">
        <v>581</v>
      </c>
      <c r="D7" s="2" t="s">
        <v>582</v>
      </c>
      <c r="E7" s="2" t="s">
        <v>583</v>
      </c>
      <c r="F7" s="2" t="s">
        <v>584</v>
      </c>
      <c r="G7" s="2" t="s">
        <v>585</v>
      </c>
      <c r="H7" s="2" t="s">
        <v>586</v>
      </c>
      <c r="I7" s="2" t="s">
        <v>587</v>
      </c>
      <c r="J7" s="2" t="s">
        <v>588</v>
      </c>
      <c r="K7" s="2" t="s">
        <v>589</v>
      </c>
      <c r="L7" s="2" t="s">
        <v>590</v>
      </c>
      <c r="M7" s="2" t="s">
        <v>591</v>
      </c>
      <c r="N7" s="2" t="s">
        <v>592</v>
      </c>
      <c r="O7" s="2" t="str">
        <f>O6&amp;" AW24"</f>
        <v>BHR AW24</v>
      </c>
      <c r="P7" s="2" t="str">
        <f>P6&amp;" AW25"</f>
        <v>BHR AW25</v>
      </c>
    </row>
    <row r="8" spans="2:39" x14ac:dyDescent="0.35">
      <c r="B8" s="2">
        <v>39</v>
      </c>
      <c r="C8" s="24">
        <f>SUMIFS(flu_aw24[cumulative_aw24_vve],flu_aw24[iso_week],$B8)/SUMIFS(flu_aw24[flhcw],flu_aw24[iso_week],$B8)</f>
        <v>6.4921880287592999E-3</v>
      </c>
      <c r="D8" s="24">
        <f>IFERROR(SUMIFS(flu_aw25[cumulative_aw25_vve],flu_aw25[iso_week],$B8)/SUMIFS(flu_aw25[flhcw],flu_aw25[iso_week],$B8),NA())</f>
        <v>3.7323170102623545E-3</v>
      </c>
      <c r="E8" s="24">
        <f>SUMIFS(flu_aw24[cumulative_aw24_vve],flu_aw24[iso_week],$B8,flu_aw24[icb],E$6)/SUMIFS(flu_aw24[flhcw],flu_aw24[iso_week],$B8,flu_aw24[icb],E$6)</f>
        <v>3.1176765985939069E-3</v>
      </c>
      <c r="F8" s="24">
        <f>IFERROR(SUMIFS(flu_aw25[cumulative_aw25_vve],flu_aw25[iso_week],$B8,flu_aw25[icb],F$6)/SUMIFS(flu_aw25[flhcw],flu_aw25[iso_week],$B8,flu_aw25[icb],F$6),NA())</f>
        <v>1.4815199875240423E-3</v>
      </c>
      <c r="G8" s="24">
        <f>SUMIFS(flu_aw24[cumulative_aw24_vve],flu_aw24[iso_week],$B8,flu_aw24[icb],G$6)/SUMIFS(flu_aw24[flhcw],flu_aw24[iso_week],$B8,flu_aw24[icb],G$6)</f>
        <v>9.7611722260342194E-3</v>
      </c>
      <c r="H8" s="24">
        <f>IFERROR(SUMIFS(flu_aw25[cumulative_aw25_vve],flu_aw25[iso_week],$B8,flu_aw25[icb],H$6)/SUMIFS(flu_aw25[flhcw],flu_aw25[iso_week],$B8,flu_aw25[icb],H$6),NA())</f>
        <v>1.6379291263640186E-3</v>
      </c>
      <c r="I8" s="24">
        <f>SUMIFS(flu_aw24[cumulative_aw24_vve],flu_aw24[iso_week],$B8,flu_aw24[icb],I$6)/SUMIFS(flu_aw24[flhcw],flu_aw24[iso_week],$B8,flu_aw24[icb],I$6)</f>
        <v>1.3947390443248069E-2</v>
      </c>
      <c r="J8" s="24">
        <f>IFERROR(SUMIFS(flu_aw25[cumulative_aw25_vve],flu_aw25[iso_week],$B8,flu_aw25[icb],J$6)/SUMIFS(flu_aw25[flhcw],flu_aw25[iso_week],$B8,flu_aw25[icb],J$6),NA())</f>
        <v>1.3706435377164383E-2</v>
      </c>
      <c r="K8" s="24">
        <f>SUMIFS(flu_aw24[cumulative_aw24_vve],flu_aw24[iso_week],$B8,flu_aw24[icb],K$6)/SUMIFS(flu_aw24[flhcw],flu_aw24[iso_week],$B8,flu_aw24[icb],K$6)</f>
        <v>2.5114216249432259E-3</v>
      </c>
      <c r="L8" s="24">
        <f>IFERROR(SUMIFS(flu_aw25[cumulative_aw25_vve],flu_aw25[iso_week],$B8,flu_aw25[icb],L$6)/SUMIFS(flu_aw25[flhcw],flu_aw25[iso_week],$B8,flu_aw25[icb],L$6),NA())</f>
        <v>1.0722239023451461E-3</v>
      </c>
      <c r="M8" s="24">
        <f>SUMIFS(flu_aw24[cumulative_aw24_vve],flu_aw24[iso_week],$B8,flu_aw24[icb],M$6)/SUMIFS(flu_aw24[flhcw],flu_aw24[iso_week],$B8,flu_aw24[icb],M$6)</f>
        <v>2.439213256930463E-3</v>
      </c>
      <c r="N8" s="24">
        <f>IFERROR(SUMIFS(flu_aw25[cumulative_aw25_vve],flu_aw25[iso_week],$B8,flu_aw25[icb],N$6)/SUMIFS(flu_aw25[flhcw],flu_aw25[iso_week],$B8,flu_aw25[icb],N$6),NA())</f>
        <v>9.11854103343465E-4</v>
      </c>
      <c r="O8" s="24">
        <f>SUMIFS(flu_aw24[cumulative_aw24_vve],flu_aw24[iso_week],$B8,flu_aw24[trust_short],O$6)/SUMIFS(flu_aw24[flhcw],flu_aw24[iso_week],$B8,flu_aw24[trust_short],O$6)</f>
        <v>4.1251983268426363E-2</v>
      </c>
      <c r="P8" s="24">
        <f>IFERROR(SUMIFS(flu_aw25[cumulative_aw25_vve],flu_aw25[iso_week],$B8,flu_aw25[trust_short],P$6)/SUMIFS(flu_aw25[flhcw],flu_aw25[iso_week],$B8,flu_aw25[trust_short],P$6),NA())</f>
        <v>8.6542622241453913E-4</v>
      </c>
    </row>
    <row r="9" spans="2:39" x14ac:dyDescent="0.35">
      <c r="B9" s="2">
        <v>40</v>
      </c>
      <c r="C9" s="24">
        <f>SUMIFS(flu_aw24[cumulative_aw24_vve],flu_aw24[iso_week],$B9)/SUMIFS(flu_aw24[flhcw],flu_aw24[iso_week],$B9)</f>
        <v>3.1232739398154779E-2</v>
      </c>
      <c r="D9" s="24">
        <f>IFERROR(SUMIFS(flu_aw25[cumulative_aw25_vve],flu_aw25[iso_week],$B9)/SUMIFS(flu_aw25[flhcw],flu_aw25[iso_week],$B9),NA())</f>
        <v>4.1103246527422622E-2</v>
      </c>
      <c r="E9" s="24">
        <f>SUMIFS(flu_aw24[cumulative_aw24_vve],flu_aw24[iso_week],$B9,flu_aw24[icb],E$6)/SUMIFS(flu_aw24[flhcw],flu_aw24[iso_week],$B9,flu_aw24[icb],E$6)</f>
        <v>2.6910946966553242E-2</v>
      </c>
      <c r="F9" s="24">
        <f>IFERROR(SUMIFS(flu_aw25[cumulative_aw25_vve],flu_aw25[iso_week],$B9,flu_aw25[icb],F$6)/SUMIFS(flu_aw25[flhcw],flu_aw25[iso_week],$B9,flu_aw25[icb],F$6),NA())</f>
        <v>3.9941073948045483E-2</v>
      </c>
      <c r="G9" s="24">
        <f>SUMIFS(flu_aw24[cumulative_aw24_vve],flu_aw24[iso_week],$B9,flu_aw24[icb],G$6)/SUMIFS(flu_aw24[flhcw],flu_aw24[iso_week],$B9,flu_aw24[icb],G$6)</f>
        <v>3.1607605303348899E-2</v>
      </c>
      <c r="H9" s="24">
        <f>IFERROR(SUMIFS(flu_aw25[cumulative_aw25_vve],flu_aw25[iso_week],$B9,flu_aw25[icb],H$6)/SUMIFS(flu_aw25[flhcw],flu_aw25[iso_week],$B9,flu_aw25[icb],H$6),NA())</f>
        <v>3.1607605303348899E-2</v>
      </c>
      <c r="I9" s="24">
        <f>SUMIFS(flu_aw24[cumulative_aw24_vve],flu_aw24[iso_week],$B9,flu_aw24[icb],I$6)/SUMIFS(flu_aw24[flhcw],flu_aw24[iso_week],$B9,flu_aw24[icb],I$6)</f>
        <v>4.0837959217830344E-2</v>
      </c>
      <c r="J9" s="24">
        <f>IFERROR(SUMIFS(flu_aw25[cumulative_aw25_vve],flu_aw25[iso_week],$B9,flu_aw25[icb],J$6)/SUMIFS(flu_aw25[flhcw],flu_aw25[iso_week],$B9,flu_aw25[icb],J$6),NA())</f>
        <v>4.0586906189851876E-2</v>
      </c>
      <c r="K9" s="24">
        <f>SUMIFS(flu_aw24[cumulative_aw24_vve],flu_aw24[iso_week],$B9,flu_aw24[icb],K$6)/SUMIFS(flu_aw24[flhcw],flu_aw24[iso_week],$B9,flu_aw24[icb],K$6)</f>
        <v>2.1269762845849801E-2</v>
      </c>
      <c r="L9" s="24">
        <f>IFERROR(SUMIFS(flu_aw25[cumulative_aw25_vve],flu_aw25[iso_week],$B9,flu_aw25[icb],L$6)/SUMIFS(flu_aw25[flhcw],flu_aw25[iso_week],$B9,flu_aw25[icb],L$6),NA())</f>
        <v>5.4866600790513836E-2</v>
      </c>
      <c r="M9" s="24">
        <f>SUMIFS(flu_aw24[cumulative_aw24_vve],flu_aw24[iso_week],$B9,flu_aw24[icb],M$6)/SUMIFS(flu_aw24[flhcw],flu_aw24[iso_week],$B9,flu_aw24[icb],M$6)</f>
        <v>4.0924577977388882E-2</v>
      </c>
      <c r="N9" s="24">
        <f>IFERROR(SUMIFS(flu_aw25[cumulative_aw25_vve],flu_aw25[iso_week],$B9,flu_aw25[icb],N$6)/SUMIFS(flu_aw25[flhcw],flu_aw25[iso_week],$B9,flu_aw25[icb],N$6),NA())</f>
        <v>3.9027412110887408E-2</v>
      </c>
      <c r="O9" s="24">
        <f>SUMIFS(flu_aw24[cumulative_aw24_vve],flu_aw24[iso_week],$B9,flu_aw24[trust_short],O$6)/SUMIFS(flu_aw24[flhcw],flu_aw24[iso_week],$B9,flu_aw24[trust_short],O$6)</f>
        <v>8.1782778018173949E-2</v>
      </c>
      <c r="P9" s="24">
        <f>IFERROR(SUMIFS(flu_aw25[cumulative_aw25_vve],flu_aw25[iso_week],$B9,flu_aw25[trust_short],P$6)/SUMIFS(flu_aw25[flhcw],flu_aw25[iso_week],$B9,flu_aw25[trust_short],P$6),NA())</f>
        <v>2.8847540747151304E-2</v>
      </c>
      <c r="R9"/>
    </row>
    <row r="10" spans="2:39" x14ac:dyDescent="0.35">
      <c r="B10" s="2">
        <v>41</v>
      </c>
      <c r="C10" s="24">
        <f>SUMIFS(flu_aw24[cumulative_aw24_vve],flu_aw24[iso_week],$B10)/SUMIFS(flu_aw24[flhcw],flu_aw24[iso_week],$B10)</f>
        <v>8.6144467401755215E-2</v>
      </c>
      <c r="D10" s="24">
        <f>IFERROR(SUMIFS(flu_aw25[cumulative_aw25_vve],flu_aw25[iso_week],$B10)/SUMIFS(flu_aw25[flhcw],flu_aw25[iso_week],$B10),NA())</f>
        <v>0.10124174048237629</v>
      </c>
      <c r="E10" s="24">
        <f>SUMIFS(flu_aw24[cumulative_aw24_vve],flu_aw24[iso_week],$B10,flu_aw24[icb],E$6)/SUMIFS(flu_aw24[flhcw],flu_aw24[iso_week],$B10,flu_aw24[icb],E$6)</f>
        <v>7.7765789692090637E-2</v>
      </c>
      <c r="F10" s="24">
        <f>IFERROR(SUMIFS(flu_aw25[cumulative_aw25_vve],flu_aw25[iso_week],$B10,flu_aw25[icb],F$6)/SUMIFS(flu_aw25[flhcw],flu_aw25[iso_week],$B10,flu_aw25[icb],F$6),NA())</f>
        <v>9.7103494065897591E-2</v>
      </c>
      <c r="G10" s="24">
        <f>SUMIFS(flu_aw24[cumulative_aw24_vve],flu_aw24[iso_week],$B10,flu_aw24[icb],G$6)/SUMIFS(flu_aw24[flhcw],flu_aw24[iso_week],$B10,flu_aw24[icb],G$6)</f>
        <v>7.5632484118727722E-2</v>
      </c>
      <c r="H10" s="24">
        <f>IFERROR(SUMIFS(flu_aw25[cumulative_aw25_vve],flu_aw25[iso_week],$B10,flu_aw25[icb],H$6)/SUMIFS(flu_aw25[flhcw],flu_aw25[iso_week],$B10,flu_aw25[icb],H$6),NA())</f>
        <v>8.2759689236149542E-2</v>
      </c>
      <c r="I10" s="24">
        <f>SUMIFS(flu_aw24[cumulative_aw24_vve],flu_aw24[iso_week],$B10,flu_aw24[icb],I$6)/SUMIFS(flu_aw24[flhcw],flu_aw24[iso_week],$B10,flu_aw24[icb],I$6)</f>
        <v>9.9165946051493772E-2</v>
      </c>
      <c r="J10" s="24">
        <f>IFERROR(SUMIFS(flu_aw25[cumulative_aw25_vve],flu_aw25[iso_week],$B10,flu_aw25[icb],J$6)/SUMIFS(flu_aw25[flhcw],flu_aw25[iso_week],$B10,flu_aw25[icb],J$6),NA())</f>
        <v>0.10555385087450138</v>
      </c>
      <c r="K10" s="24">
        <f>SUMIFS(flu_aw24[cumulative_aw24_vve],flu_aw24[iso_week],$B10,flu_aw24[icb],K$6)/SUMIFS(flu_aw24[flhcw],flu_aw24[iso_week],$B10,flu_aw24[icb],K$6)</f>
        <v>7.9446640316205533E-2</v>
      </c>
      <c r="L10" s="24">
        <f>IFERROR(SUMIFS(flu_aw25[cumulative_aw25_vve],flu_aw25[iso_week],$B10,flu_aw25[icb],L$6)/SUMIFS(flu_aw25[flhcw],flu_aw25[iso_week],$B10,flu_aw25[icb],L$6),NA())</f>
        <v>0.12257905138339921</v>
      </c>
      <c r="M10" s="24">
        <f>SUMIFS(flu_aw24[cumulative_aw24_vve],flu_aw24[iso_week],$B10,flu_aw24[icb],M$6)/SUMIFS(flu_aw24[flhcw],flu_aw24[iso_week],$B10,flu_aw24[icb],M$6)</f>
        <v>0.11259098652625057</v>
      </c>
      <c r="N10" s="24">
        <f>IFERROR(SUMIFS(flu_aw25[cumulative_aw25_vve],flu_aw25[iso_week],$B10,flu_aw25[icb],N$6)/SUMIFS(flu_aw25[flhcw],flu_aw25[iso_week],$B10,flu_aw25[icb],N$6),NA())</f>
        <v>0.10186619172990553</v>
      </c>
      <c r="O10" s="24">
        <f>SUMIFS(flu_aw24[cumulative_aw24_vve],flu_aw24[iso_week],$B10,flu_aw24[trust_short],O$6)/SUMIFS(flu_aw24[flhcw],flu_aw24[iso_week],$B10,flu_aw24[trust_short],O$6)</f>
        <v>0.14553584306937833</v>
      </c>
      <c r="P10" s="24">
        <f>IFERROR(SUMIFS(flu_aw25[cumulative_aw25_vve],flu_aw25[iso_week],$B10,flu_aw25[trust_short],P$6)/SUMIFS(flu_aw25[flhcw],flu_aw25[iso_week],$B10,flu_aw25[trust_short],P$6),NA())</f>
        <v>7.8465310832251556E-2</v>
      </c>
      <c r="R10"/>
    </row>
    <row r="11" spans="2:39" x14ac:dyDescent="0.35">
      <c r="B11" s="2">
        <v>42</v>
      </c>
      <c r="C11" s="24">
        <f>SUMIFS(flu_aw24[cumulative_aw24_vve],flu_aw24[iso_week],$B11)/SUMIFS(flu_aw24[flhcw],flu_aw24[iso_week],$B11)</f>
        <v>0.13298590512038949</v>
      </c>
      <c r="D11" s="24">
        <f>IFERROR(SUMIFS(flu_aw25[cumulative_aw25_vve],flu_aw25[iso_week],$B11)/SUMIFS(flu_aw25[flhcw],flu_aw25[iso_week],$B11),NA())</f>
        <v>0.15488001963872922</v>
      </c>
      <c r="E11" s="24">
        <f>SUMIFS(flu_aw24[cumulative_aw24_vve],flu_aw24[iso_week],$B11,flu_aw24[icb],E$6)/SUMIFS(flu_aw24[flhcw],flu_aw24[iso_week],$B11,flu_aw24[icb],E$6)</f>
        <v>0.12521786040335298</v>
      </c>
      <c r="F11" s="24">
        <f>IFERROR(SUMIFS(flu_aw25[cumulative_aw25_vve],flu_aw25[iso_week],$B11,flu_aw25[icb],F$6)/SUMIFS(flu_aw25[flhcw],flu_aw25[iso_week],$B11,flu_aw25[icb],F$6),NA())</f>
        <v>0.15285500871441612</v>
      </c>
      <c r="G11" s="24">
        <f>SUMIFS(flu_aw24[cumulative_aw24_vve],flu_aw24[iso_week],$B11,flu_aw24[icb],G$6)/SUMIFS(flu_aw24[flhcw],flu_aw24[iso_week],$B11,flu_aw24[icb],G$6)</f>
        <v>0.11587241860156268</v>
      </c>
      <c r="H11" s="24">
        <f>IFERROR(SUMIFS(flu_aw25[cumulative_aw25_vve],flu_aw25[iso_week],$B11,flu_aw25[icb],H$6)/SUMIFS(flu_aw25[flhcw],flu_aw25[iso_week],$B11,flu_aw25[icb],H$6),NA())</f>
        <v>0.12525730981208083</v>
      </c>
      <c r="I11" s="24">
        <f>SUMIFS(flu_aw24[cumulative_aw24_vve],flu_aw24[iso_week],$B11,flu_aw24[icb],I$6)/SUMIFS(flu_aw24[flhcw],flu_aw24[iso_week],$B11,flu_aw24[icb],I$6)</f>
        <v>0.14508075539066639</v>
      </c>
      <c r="J11" s="24">
        <f>IFERROR(SUMIFS(flu_aw25[cumulative_aw25_vve],flu_aw25[iso_week],$B11,flu_aw25[icb],J$6)/SUMIFS(flu_aw25[flhcw],flu_aw25[iso_week],$B11,flu_aw25[icb],J$6),NA())</f>
        <v>0.16312867862422942</v>
      </c>
      <c r="K11" s="24">
        <f>SUMIFS(flu_aw24[cumulative_aw24_vve],flu_aw24[iso_week],$B11,flu_aw24[icb],K$6)/SUMIFS(flu_aw24[flhcw],flu_aw24[iso_week],$B11,flu_aw24[icb],K$6)</f>
        <v>0.13179347826086957</v>
      </c>
      <c r="L11" s="24">
        <f>IFERROR(SUMIFS(flu_aw25[cumulative_aw25_vve],flu_aw25[iso_week],$B11,flu_aw25[icb],L$6)/SUMIFS(flu_aw25[flhcw],flu_aw25[iso_week],$B11,flu_aw25[icb],L$6),NA())</f>
        <v>0.1821393280632411</v>
      </c>
      <c r="M11" s="24">
        <f>SUMIFS(flu_aw24[cumulative_aw24_vve],flu_aw24[iso_week],$B11,flu_aw24[icb],M$6)/SUMIFS(flu_aw24[flhcw],flu_aw24[iso_week],$B11,flu_aw24[icb],M$6)</f>
        <v>0.16249806411646275</v>
      </c>
      <c r="N11" s="24">
        <f>IFERROR(SUMIFS(flu_aw25[cumulative_aw25_vve],flu_aw25[iso_week],$B11,flu_aw25[icb],N$6)/SUMIFS(flu_aw25[flhcw],flu_aw25[iso_week],$B11,flu_aw25[icb],N$6),NA())</f>
        <v>0.15630323679727429</v>
      </c>
      <c r="O11" s="24">
        <f>SUMIFS(flu_aw24[cumulative_aw24_vve],flu_aw24[iso_week],$B11,flu_aw24[trust_short],O$6)/SUMIFS(flu_aw24[flhcw],flu_aw24[iso_week],$B11,flu_aw24[trust_short],O$6)</f>
        <v>0.19111495744987739</v>
      </c>
      <c r="P11" s="24">
        <f>IFERROR(SUMIFS(flu_aw25[cumulative_aw25_vve],flu_aw25[iso_week],$B11,flu_aw25[trust_short],P$6)/SUMIFS(flu_aw25[flhcw],flu_aw25[iso_week],$B11,flu_aw25[trust_short],P$6),NA())</f>
        <v>0.11625558921101976</v>
      </c>
      <c r="R11"/>
    </row>
    <row r="12" spans="2:39" x14ac:dyDescent="0.35">
      <c r="B12" s="2">
        <v>43</v>
      </c>
      <c r="C12" s="24">
        <f>SUMIFS(flu_aw24[cumulative_aw24_vve],flu_aw24[iso_week],$B12)/SUMIFS(flu_aw24[flhcw],flu_aw24[iso_week],$B12)</f>
        <v>0.16928686864554141</v>
      </c>
      <c r="D12" s="24">
        <f>IFERROR(SUMIFS(flu_aw25[cumulative_aw25_vve],flu_aw25[iso_week],$B12)/SUMIFS(flu_aw25[flhcw],flu_aw25[iso_week],$B12),NA())</f>
        <v>0.19669926150195363</v>
      </c>
      <c r="E12" s="24">
        <f>SUMIFS(flu_aw24[cumulative_aw24_vve],flu_aw24[iso_week],$B12,flu_aw24[icb],E$6)/SUMIFS(flu_aw24[flhcw],flu_aw24[iso_week],$B12,flu_aw24[icb],E$6)</f>
        <v>0.1670263092372811</v>
      </c>
      <c r="F12" s="24">
        <f>IFERROR(SUMIFS(flu_aw25[cumulative_aw25_vve],flu_aw25[iso_week],$B12,flu_aw25[icb],F$6)/SUMIFS(flu_aw25[flhcw],flu_aw25[iso_week],$B12,flu_aw25[icb],F$6),NA())</f>
        <v>0.19929039754336458</v>
      </c>
      <c r="G12" s="24">
        <f>SUMIFS(flu_aw24[cumulative_aw24_vve],flu_aw24[iso_week],$B12,flu_aw24[icb],G$6)/SUMIFS(flu_aw24[flhcw],flu_aw24[iso_week],$B12,flu_aw24[icb],G$6)</f>
        <v>0.14451404413554969</v>
      </c>
      <c r="H12" s="24">
        <f>IFERROR(SUMIFS(flu_aw25[cumulative_aw25_vve],flu_aw25[iso_week],$B12,flu_aw25[icb],H$6)/SUMIFS(flu_aw25[flhcw],flu_aw25[iso_week],$B12,flu_aw25[icb],H$6),NA())</f>
        <v>0.16038424931937403</v>
      </c>
      <c r="I12" s="24">
        <f>SUMIFS(flu_aw24[cumulative_aw24_vve],flu_aw24[iso_week],$B12,flu_aw24[icb],I$6)/SUMIFS(flu_aw24[flhcw],flu_aw24[iso_week],$B12,flu_aw24[icb],I$6)</f>
        <v>0.18047923233563001</v>
      </c>
      <c r="J12" s="24">
        <f>IFERROR(SUMIFS(flu_aw25[cumulative_aw25_vve],flu_aw25[iso_week],$B12,flu_aw25[icb],J$6)/SUMIFS(flu_aw25[flhcw],flu_aw25[iso_week],$B12,flu_aw25[icb],J$6),NA())</f>
        <v>0.20971296270467796</v>
      </c>
      <c r="K12" s="24">
        <f>SUMIFS(flu_aw24[cumulative_aw24_vve],flu_aw24[iso_week],$B12,flu_aw24[icb],K$6)/SUMIFS(flu_aw24[flhcw],flu_aw24[iso_week],$B12,flu_aw24[icb],K$6)</f>
        <v>0.1671689723320158</v>
      </c>
      <c r="L12" s="24">
        <f>IFERROR(SUMIFS(flu_aw25[cumulative_aw25_vve],flu_aw25[iso_week],$B12,flu_aw25[icb],L$6)/SUMIFS(flu_aw25[flhcw],flu_aw25[iso_week],$B12,flu_aw25[icb],L$6),NA())</f>
        <v>0.22223320158102766</v>
      </c>
      <c r="M12" s="24">
        <f>SUMIFS(flu_aw24[cumulative_aw24_vve],flu_aw24[iso_week],$B12,flu_aw24[icb],M$6)/SUMIFS(flu_aw24[flhcw],flu_aw24[iso_week],$B12,flu_aw24[icb],M$6)</f>
        <v>0.20462288988694441</v>
      </c>
      <c r="N12" s="24">
        <f>IFERROR(SUMIFS(flu_aw25[cumulative_aw25_vve],flu_aw25[iso_week],$B12,flu_aw25[icb],N$6)/SUMIFS(flu_aw25[flhcw],flu_aw25[iso_week],$B12,flu_aw25[icb],N$6),NA())</f>
        <v>0.19730525011615302</v>
      </c>
      <c r="O12" s="24">
        <f>SUMIFS(flu_aw24[cumulative_aw24_vve],flu_aw24[iso_week],$B12,flu_aw24[trust_short],O$6)/SUMIFS(flu_aw24[flhcw],flu_aw24[iso_week],$B12,flu_aw24[trust_short],O$6)</f>
        <v>0.22169335064185777</v>
      </c>
      <c r="P12" s="24">
        <f>IFERROR(SUMIFS(flu_aw25[cumulative_aw25_vve],flu_aw25[iso_week],$B12,flu_aw25[trust_short],P$6)/SUMIFS(flu_aw25[flhcw],flu_aw25[iso_week],$B12,flu_aw25[trust_short],P$6),NA())</f>
        <v>0.14928602336650801</v>
      </c>
      <c r="R12"/>
    </row>
    <row r="13" spans="2:39" x14ac:dyDescent="0.35">
      <c r="B13" s="2">
        <v>44</v>
      </c>
      <c r="C13" s="24">
        <f>SUMIFS(flu_aw24[cumulative_aw24_vve],flu_aw24[iso_week],$B13)/SUMIFS(flu_aw24[flhcw],flu_aw24[iso_week],$B13)</f>
        <v>0.19883190475216334</v>
      </c>
      <c r="D13" s="24">
        <f>IFERROR(SUMIFS(flu_aw25[cumulative_aw25_vve],flu_aw25[iso_week],$B13)/SUMIFS(flu_aw25[flhcw],flu_aw25[iso_week],$B13),NA())</f>
        <v>0.22966573246322852</v>
      </c>
      <c r="E13" s="24">
        <f>SUMIFS(flu_aw24[cumulative_aw24_vve],flu_aw24[iso_week],$B13,flu_aw24[icb],E$6)/SUMIFS(flu_aw24[flhcw],flu_aw24[iso_week],$B13,flu_aw24[icb],E$6)</f>
        <v>0.19603286579799153</v>
      </c>
      <c r="F13" s="24">
        <f>IFERROR(SUMIFS(flu_aw25[cumulative_aw25_vve],flu_aw25[iso_week],$B13,flu_aw25[icb],F$6)/SUMIFS(flu_aw25[flhcw],flu_aw25[iso_week],$B13,flu_aw25[icb],F$6),NA())</f>
        <v>0.23414806207984065</v>
      </c>
      <c r="G13" s="24">
        <f>SUMIFS(flu_aw24[cumulative_aw24_vve],flu_aw24[iso_week],$B13,flu_aw24[icb],G$6)/SUMIFS(flu_aw24[flhcw],flu_aw24[iso_week],$B13,flu_aw24[icb],G$6)</f>
        <v>0.17335487726598642</v>
      </c>
      <c r="H13" s="24">
        <f>IFERROR(SUMIFS(flu_aw25[cumulative_aw25_vve],flu_aw25[iso_week],$B13,flu_aw25[icb],H$6)/SUMIFS(flu_aw25[flhcw],flu_aw25[iso_week],$B13,flu_aw25[icb],H$6),NA())</f>
        <v>0.19077447486664159</v>
      </c>
      <c r="I13" s="24">
        <f>SUMIFS(flu_aw24[cumulative_aw24_vve],flu_aw24[iso_week],$B13,flu_aw24[icb],I$6)/SUMIFS(flu_aw24[flhcw],flu_aw24[iso_week],$B13,flu_aw24[icb],I$6)</f>
        <v>0.209322435772267</v>
      </c>
      <c r="J13" s="24">
        <f>IFERROR(SUMIFS(flu_aw25[cumulative_aw25_vve],flu_aw25[iso_week],$B13,flu_aw25[icb],J$6)/SUMIFS(flu_aw25[flhcw],flu_aw25[iso_week],$B13,flu_aw25[icb],J$6),NA())</f>
        <v>0.24201511897124048</v>
      </c>
      <c r="K13" s="24">
        <f>SUMIFS(flu_aw24[cumulative_aw24_vve],flu_aw24[iso_week],$B13,flu_aw24[icb],K$6)/SUMIFS(flu_aw24[flhcw],flu_aw24[iso_week],$B13,flu_aw24[icb],K$6)</f>
        <v>0.19515810276679843</v>
      </c>
      <c r="L13" s="24">
        <f>IFERROR(SUMIFS(flu_aw25[cumulative_aw25_vve],flu_aw25[iso_week],$B13,flu_aw25[icb],L$6)/SUMIFS(flu_aw25[flhcw],flu_aw25[iso_week],$B13,flu_aw25[icb],L$6),NA())</f>
        <v>0.25471837944664033</v>
      </c>
      <c r="M13" s="24">
        <f>SUMIFS(flu_aw24[cumulative_aw24_vve],flu_aw24[iso_week],$B13,flu_aw24[icb],M$6)/SUMIFS(flu_aw24[flhcw],flu_aw24[iso_week],$B13,flu_aw24[icb],M$6)</f>
        <v>0.23981725259408393</v>
      </c>
      <c r="N13" s="24">
        <f>IFERROR(SUMIFS(flu_aw25[cumulative_aw25_vve],flu_aw25[iso_week],$B13,flu_aw25[icb],N$6)/SUMIFS(flu_aw25[flhcw],flu_aw25[iso_week],$B13,flu_aw25[icb],N$6),NA())</f>
        <v>0.23292550720148675</v>
      </c>
      <c r="O13" s="24">
        <f>SUMIFS(flu_aw24[cumulative_aw24_vve],flu_aw24[iso_week],$B13,flu_aw24[trust_short],O$6)/SUMIFS(flu_aw24[flhcw],flu_aw24[iso_week],$B13,flu_aw24[trust_short],O$6)</f>
        <v>0.25155055531515941</v>
      </c>
      <c r="P13" s="24">
        <f>IFERROR(SUMIFS(flu_aw25[cumulative_aw25_vve],flu_aw25[iso_week],$B13,flu_aw25[trust_short],P$6)/SUMIFS(flu_aw25[flhcw],flu_aw25[iso_week],$B13,flu_aw25[trust_short],P$6),NA())</f>
        <v>0.17986441655848839</v>
      </c>
      <c r="R13"/>
    </row>
    <row r="14" spans="2:39" x14ac:dyDescent="0.35">
      <c r="B14" s="2">
        <v>45</v>
      </c>
      <c r="C14" s="24">
        <f>SUMIFS(flu_aw24[cumulative_aw24_vve],flu_aw24[iso_week],$B14)/SUMIFS(flu_aw24[flhcw],flu_aw24[iso_week],$B14)</f>
        <v>0.22468956487940592</v>
      </c>
      <c r="D14" s="24">
        <f>IFERROR(SUMIFS(flu_aw25[cumulative_aw25_vve],flu_aw25[iso_week],$B14)/SUMIFS(flu_aw25[flhcw],flu_aw25[iso_week],$B14),NA())</f>
        <v>0.26105189943334084</v>
      </c>
      <c r="E14" s="24">
        <f>SUMIFS(flu_aw24[cumulative_aw24_vve],flu_aw24[iso_week],$B14,flu_aw24[icb],E$6)/SUMIFS(flu_aw24[flhcw],flu_aw24[iso_week],$B14,flu_aw24[icb],E$6)</f>
        <v>0.22207237115113287</v>
      </c>
      <c r="F14" s="24">
        <f>IFERROR(SUMIFS(flu_aw25[cumulative_aw25_vve],flu_aw25[iso_week],$B14,flu_aw25[icb],F$6)/SUMIFS(flu_aw25[flhcw],flu_aw25[iso_week],$B14,flu_aw25[icb],F$6),NA())</f>
        <v>0.26707610590090464</v>
      </c>
      <c r="G14" s="24">
        <f>SUMIFS(flu_aw24[cumulative_aw24_vve],flu_aw24[iso_week],$B14,flu_aw24[icb],G$6)/SUMIFS(flu_aw24[flhcw],flu_aw24[iso_week],$B14,flu_aw24[icb],G$6)</f>
        <v>0.19920759644967795</v>
      </c>
      <c r="H14" s="24">
        <f>IFERROR(SUMIFS(flu_aw25[cumulative_aw25_vve],flu_aw25[iso_week],$B14,flu_aw25[icb],H$6)/SUMIFS(flu_aw25[flhcw],flu_aw25[iso_week],$B14,flu_aw25[icb],H$6),NA())</f>
        <v>0.22081055357577636</v>
      </c>
      <c r="I14" s="24">
        <f>SUMIFS(flu_aw24[cumulative_aw24_vve],flu_aw24[iso_week],$B14,flu_aw24[icb],I$6)/SUMIFS(flu_aw24[flhcw],flu_aw24[iso_week],$B14,flu_aw24[icb],I$6)</f>
        <v>0.23350721080085915</v>
      </c>
      <c r="J14" s="24">
        <f>IFERROR(SUMIFS(flu_aw25[cumulative_aw25_vve],flu_aw25[iso_week],$B14,flu_aw25[icb],J$6)/SUMIFS(flu_aw25[flhcw],flu_aw25[iso_week],$B14,flu_aw25[icb],J$6),NA())</f>
        <v>0.27462411782755447</v>
      </c>
      <c r="K14" s="24">
        <f>SUMIFS(flu_aw24[cumulative_aw24_vve],flu_aw24[iso_week],$B14,flu_aw24[icb],K$6)/SUMIFS(flu_aw24[flhcw],flu_aw24[iso_week],$B14,flu_aw24[icb],K$6)</f>
        <v>0.2208498023715415</v>
      </c>
      <c r="L14" s="24">
        <f>IFERROR(SUMIFS(flu_aw25[cumulative_aw25_vve],flu_aw25[iso_week],$B14,flu_aw25[icb],L$6)/SUMIFS(flu_aw25[flhcw],flu_aw25[iso_week],$B14,flu_aw25[icb],L$6),NA())</f>
        <v>0.28253458498023715</v>
      </c>
      <c r="M14" s="24">
        <f>SUMIFS(flu_aw24[cumulative_aw24_vve],flu_aw24[iso_week],$B14,flu_aw24[icb],M$6)/SUMIFS(flu_aw24[flhcw],flu_aw24[iso_week],$B14,flu_aw24[icb],M$6)</f>
        <v>0.26792628155490167</v>
      </c>
      <c r="N14" s="24">
        <f>IFERROR(SUMIFS(flu_aw25[cumulative_aw25_vve],flu_aw25[iso_week],$B14,flu_aw25[icb],N$6)/SUMIFS(flu_aw25[flhcw],flu_aw25[iso_week],$B14,flu_aw25[icb],N$6),NA())</f>
        <v>0.26769397553043212</v>
      </c>
      <c r="O14" s="24">
        <f>SUMIFS(flu_aw24[cumulative_aw24_vve],flu_aw24[iso_week],$B14,flu_aw24[trust_short],O$6)/SUMIFS(flu_aw24[flhcw],flu_aw24[iso_week],$B14,flu_aw24[trust_short],O$6)</f>
        <v>0.27924419443242465</v>
      </c>
      <c r="P14" s="24">
        <f>IFERROR(SUMIFS(flu_aw25[cumulative_aw25_vve],flu_aw25[iso_week],$B14,flu_aw25[trust_short],P$6)/SUMIFS(flu_aw25[flhcw],flu_aw25[iso_week],$B14,flu_aw25[trust_short],P$6),NA())</f>
        <v>0.21332756382518389</v>
      </c>
      <c r="R14"/>
    </row>
    <row r="15" spans="2:39" x14ac:dyDescent="0.35">
      <c r="B15" s="2">
        <v>46</v>
      </c>
      <c r="C15" s="24">
        <f>SUMIFS(flu_aw24[cumulative_aw24_vve],flu_aw24[iso_week],$B15)/SUMIFS(flu_aw24[flhcw],flu_aw24[iso_week],$B15)</f>
        <v>0.2464967371069697</v>
      </c>
      <c r="D15" s="24">
        <f>IFERROR(SUMIFS(flu_aw25[cumulative_aw25_vve],flu_aw25[iso_week],$B15)/SUMIFS(flu_aw25[flhcw],flu_aw25[iso_week],$B15),NA())</f>
        <v>0.28920074463514922</v>
      </c>
      <c r="E15" s="24">
        <f>SUMIFS(flu_aw24[cumulative_aw24_vve],flu_aw24[iso_week],$B15,flu_aw24[icb],E$6)/SUMIFS(flu_aw24[flhcw],flu_aw24[iso_week],$B15,flu_aw24[icb],E$6)</f>
        <v>0.2442111378537638</v>
      </c>
      <c r="F15" s="24">
        <f>IFERROR(SUMIFS(flu_aw25[cumulative_aw25_vve],flu_aw25[iso_week],$B15,flu_aw25[icb],F$6)/SUMIFS(flu_aw25[flhcw],flu_aw25[iso_week],$B15,flu_aw25[icb],F$6),NA())</f>
        <v>0.29423603618557559</v>
      </c>
      <c r="G15" s="24">
        <f>SUMIFS(flu_aw24[cumulative_aw24_vve],flu_aw24[iso_week],$B15,flu_aw24[icb],G$6)/SUMIFS(flu_aw24[flhcw],flu_aw24[iso_week],$B15,flu_aw24[icb],G$6)</f>
        <v>0.21868567254697979</v>
      </c>
      <c r="H15" s="24">
        <f>IFERROR(SUMIFS(flu_aw25[cumulative_aw25_vve],flu_aw25[iso_week],$B15,flu_aw25[icb],H$6)/SUMIFS(flu_aw25[flhcw],flu_aw25[iso_week],$B15,flu_aw25[icb],H$6),NA())</f>
        <v>0.24721662719405033</v>
      </c>
      <c r="I15" s="24">
        <f>SUMIFS(flu_aw24[cumulative_aw24_vve],flu_aw24[iso_week],$B15,flu_aw24[icb],I$6)/SUMIFS(flu_aw24[flhcw],flu_aw24[iso_week],$B15,flu_aw24[icb],I$6)</f>
        <v>0.25088565929314627</v>
      </c>
      <c r="J15" s="24">
        <f>IFERROR(SUMIFS(flu_aw25[cumulative_aw25_vve],flu_aw25[iso_week],$B15,flu_aw25[icb],J$6)/SUMIFS(flu_aw25[flhcw],flu_aw25[iso_week],$B15,flu_aw25[icb],J$6),NA())</f>
        <v>0.30282574130380208</v>
      </c>
      <c r="K15" s="24">
        <f>SUMIFS(flu_aw24[cumulative_aw24_vve],flu_aw24[iso_week],$B15,flu_aw24[icb],K$6)/SUMIFS(flu_aw24[flhcw],flu_aw24[iso_week],$B15,flu_aw24[icb],K$6)</f>
        <v>0.2458498023715415</v>
      </c>
      <c r="L15" s="24">
        <f>IFERROR(SUMIFS(flu_aw25[cumulative_aw25_vve],flu_aw25[iso_week],$B15,flu_aw25[icb],L$6)/SUMIFS(flu_aw25[flhcw],flu_aw25[iso_week],$B15,flu_aw25[icb],L$6),NA())</f>
        <v>0.30948616600790513</v>
      </c>
      <c r="M15" s="24">
        <f>SUMIFS(flu_aw24[cumulative_aw24_vve],flu_aw24[iso_week],$B15,flu_aw24[icb],M$6)/SUMIFS(flu_aw24[flhcw],flu_aw24[iso_week],$B15,flu_aw24[icb],M$6)</f>
        <v>0.29433173300294252</v>
      </c>
      <c r="N15" s="24">
        <f>IFERROR(SUMIFS(flu_aw25[cumulative_aw25_vve],flu_aw25[iso_week],$B15,flu_aw25[icb],N$6)/SUMIFS(flu_aw25[flhcw],flu_aw25[iso_week],$B15,flu_aw25[icb],N$6),NA())</f>
        <v>0.30253987920086728</v>
      </c>
      <c r="O15" s="24">
        <f>SUMIFS(flu_aw24[cumulative_aw24_vve],flu_aw24[iso_week],$B15,flu_aw24[trust_short],O$6)/SUMIFS(flu_aw24[flhcw],flu_aw24[iso_week],$B15,flu_aw24[trust_short],O$6)</f>
        <v>0.29943747295543055</v>
      </c>
      <c r="P15" s="24">
        <f>IFERROR(SUMIFS(flu_aw25[cumulative_aw25_vve],flu_aw25[iso_week],$B15,flu_aw25[trust_short],P$6)/SUMIFS(flu_aw25[flhcw],flu_aw25[iso_week],$B15,flu_aw25[trust_short],P$6),NA())</f>
        <v>0.23539593249675464</v>
      </c>
      <c r="R15"/>
    </row>
    <row r="16" spans="2:39" x14ac:dyDescent="0.35">
      <c r="B16" s="2">
        <v>47</v>
      </c>
      <c r="C16" s="24">
        <f>SUMIFS(flu_aw24[cumulative_aw24_vve],flu_aw24[iso_week],$B16)/SUMIFS(flu_aw24[flhcw],flu_aw24[iso_week],$B16)</f>
        <v>0.26437616349242066</v>
      </c>
      <c r="D16" s="24">
        <f>IFERROR(SUMIFS(flu_aw25[cumulative_aw25_vve],flu_aw25[iso_week],$B16)/SUMIFS(flu_aw25[flhcw],flu_aw25[iso_week],$B16),NA())</f>
        <v>0.31214839514759735</v>
      </c>
      <c r="E16" s="24">
        <f>SUMIFS(flu_aw24[cumulative_aw24_vve],flu_aw24[iso_week],$B16,flu_aw24[icb],E$6)/SUMIFS(flu_aw24[flhcw],flu_aw24[iso_week],$B16,flu_aw24[icb],E$6)</f>
        <v>0.2617852103909038</v>
      </c>
      <c r="F16" s="24">
        <f>IFERROR(SUMIFS(flu_aw25[cumulative_aw25_vve],flu_aw25[iso_week],$B16,flu_aw25[icb],F$6)/SUMIFS(flu_aw25[flhcw],flu_aw25[iso_week],$B16,flu_aw25[icb],F$6),NA())</f>
        <v>0.31598057930118684</v>
      </c>
      <c r="G16" s="24">
        <f>SUMIFS(flu_aw24[cumulative_aw24_vve],flu_aw24[iso_week],$B16,flu_aw24[icb],G$6)/SUMIFS(flu_aw24[flhcw],flu_aw24[iso_week],$B16,flu_aw24[icb],G$6)</f>
        <v>0.2375882600323159</v>
      </c>
      <c r="H16" s="24">
        <f>IFERROR(SUMIFS(flu_aw25[cumulative_aw25_vve],flu_aw25[iso_week],$B16,flu_aw25[icb],H$6)/SUMIFS(flu_aw25[flhcw],flu_aw25[iso_week],$B16,flu_aw25[icb],H$6),NA())</f>
        <v>0.26888598685229864</v>
      </c>
      <c r="I16" s="24">
        <f>SUMIFS(flu_aw24[cumulative_aw24_vve],flu_aw24[iso_week],$B16,flu_aw24[icb],I$6)/SUMIFS(flu_aw24[flhcw],flu_aw24[iso_week],$B16,flu_aw24[icb],I$6)</f>
        <v>0.26650673658958407</v>
      </c>
      <c r="J16" s="24">
        <f>IFERROR(SUMIFS(flu_aw25[cumulative_aw25_vve],flu_aw25[iso_week],$B16,flu_aw25[icb],J$6)/SUMIFS(flu_aw25[flhcw],flu_aw25[iso_week],$B16,flu_aw25[icb],J$6),NA())</f>
        <v>0.32254735139055485</v>
      </c>
      <c r="K16" s="24">
        <f>SUMIFS(flu_aw24[cumulative_aw24_vve],flu_aw24[iso_week],$B16,flu_aw24[icb],K$6)/SUMIFS(flu_aw24[flhcw],flu_aw24[iso_week],$B16,flu_aw24[icb],K$6)</f>
        <v>0.26363636363636361</v>
      </c>
      <c r="L16" s="24">
        <f>IFERROR(SUMIFS(flu_aw25[cumulative_aw25_vve],flu_aw25[iso_week],$B16,flu_aw25[icb],L$6)/SUMIFS(flu_aw25[flhcw],flu_aw25[iso_week],$B16,flu_aw25[icb],L$6),NA())</f>
        <v>0.33537549407114625</v>
      </c>
      <c r="M16" s="24">
        <f>SUMIFS(flu_aw24[cumulative_aw24_vve],flu_aw24[iso_week],$B16,flu_aw24[icb],M$6)/SUMIFS(flu_aw24[flhcw],flu_aw24[iso_week],$B16,flu_aw24[icb],M$6)</f>
        <v>0.31427133343658048</v>
      </c>
      <c r="N16" s="24">
        <f>IFERROR(SUMIFS(flu_aw25[cumulative_aw25_vve],flu_aw25[iso_week],$B16,flu_aw25[icb],N$6)/SUMIFS(flu_aw25[flhcw],flu_aw25[iso_week],$B16,flu_aw25[icb],N$6),NA())</f>
        <v>0.32983583707604153</v>
      </c>
      <c r="O16" s="24">
        <f>SUMIFS(flu_aw24[cumulative_aw24_vve],flu_aw24[iso_week],$B16,flu_aw24[trust_short],O$6)/SUMIFS(flu_aw24[flhcw],flu_aw24[iso_week],$B16,flu_aw24[trust_short],O$6)</f>
        <v>0.32323669407183037</v>
      </c>
      <c r="P16" s="24">
        <f>IFERROR(SUMIFS(flu_aw25[cumulative_aw25_vve],flu_aw25[iso_week],$B16,flu_aw25[trust_short],P$6)/SUMIFS(flu_aw25[flhcw],flu_aw25[iso_week],$B16,flu_aw25[trust_short],P$6),NA())</f>
        <v>0.25977210442809751</v>
      </c>
      <c r="R16"/>
    </row>
    <row r="17" spans="2:18" x14ac:dyDescent="0.35">
      <c r="B17" s="2">
        <v>48</v>
      </c>
      <c r="C17" s="24">
        <f>SUMIFS(flu_aw24[cumulative_aw24_vve],flu_aw24[iso_week],$B17)/SUMIFS(flu_aw24[flhcw],flu_aw24[iso_week],$B17)</f>
        <v>0.27830227277376596</v>
      </c>
      <c r="D17" s="24">
        <f>IFERROR(SUMIFS(flu_aw25[cumulative_aw25_vve],flu_aw25[iso_week],$B17)/SUMIFS(flu_aw25[flhcw],flu_aw25[iso_week],$B17),NA())</f>
        <v>0.33331628582533807</v>
      </c>
      <c r="E17" s="24">
        <f>SUMIFS(flu_aw24[cumulative_aw24_vve],flu_aw24[iso_week],$B17,flu_aw24[icb],E$6)/SUMIFS(flu_aw24[flhcw],flu_aw24[iso_week],$B17,flu_aw24[icb],E$6)</f>
        <v>0.27649597476969046</v>
      </c>
      <c r="F17" s="24">
        <f>IFERROR(SUMIFS(flu_aw25[cumulative_aw25_vve],flu_aw25[iso_week],$B17,flu_aw25[icb],F$6)/SUMIFS(flu_aw25[flhcw],flu_aw25[iso_week],$B17,flu_aw25[icb],F$6),NA())</f>
        <v>0.33243422690679725</v>
      </c>
      <c r="G17" s="24">
        <f>SUMIFS(flu_aw24[cumulative_aw24_vve],flu_aw24[iso_week],$B17,flu_aw24[icb],G$6)/SUMIFS(flu_aw24[flhcw],flu_aw24[iso_week],$B17,flu_aw24[icb],G$6)</f>
        <v>0.25133358418734369</v>
      </c>
      <c r="H17" s="24">
        <f>IFERROR(SUMIFS(flu_aw25[cumulative_aw25_vve],flu_aw25[iso_week],$B17,flu_aw25[icb],H$6)/SUMIFS(flu_aw25[flhcw],flu_aw25[iso_week],$B17,flu_aw25[icb],H$6),NA())</f>
        <v>0.2901347971402643</v>
      </c>
      <c r="I17" s="24">
        <f>SUMIFS(flu_aw24[cumulative_aw24_vve],flu_aw24[iso_week],$B17,flu_aw24[icb],I$6)/SUMIFS(flu_aw24[flhcw],flu_aw24[iso_week],$B17,flu_aw24[icb],I$6)</f>
        <v>0.27713464810733912</v>
      </c>
      <c r="J17" s="24">
        <f>IFERROR(SUMIFS(flu_aw25[cumulative_aw25_vve],flu_aw25[iso_week],$B17,flu_aw25[icb],J$6)/SUMIFS(flu_aw25[flhcw],flu_aw25[iso_week],$B17,flu_aw25[icb],J$6),NA())</f>
        <v>0.33998158944461493</v>
      </c>
      <c r="K17" s="24">
        <f>SUMIFS(flu_aw24[cumulative_aw24_vve],flu_aw24[iso_week],$B17,flu_aw24[icb],K$6)/SUMIFS(flu_aw24[flhcw],flu_aw24[iso_week],$B17,flu_aw24[icb],K$6)</f>
        <v>0.27840909090909088</v>
      </c>
      <c r="L17" s="24">
        <f>IFERROR(SUMIFS(flu_aw25[cumulative_aw25_vve],flu_aw25[iso_week],$B17,flu_aw25[icb],L$6)/SUMIFS(flu_aw25[flhcw],flu_aw25[iso_week],$B17,flu_aw25[icb],L$6),NA())</f>
        <v>0.35968379446640314</v>
      </c>
      <c r="M17" s="24">
        <f>SUMIFS(flu_aw24[cumulative_aw24_vve],flu_aw24[iso_week],$B17,flu_aw24[icb],M$6)/SUMIFS(flu_aw24[flhcw],flu_aw24[iso_week],$B17,flu_aw24[icb],M$6)</f>
        <v>0.33030044912498063</v>
      </c>
      <c r="N17" s="24">
        <f>IFERROR(SUMIFS(flu_aw25[cumulative_aw25_vve],flu_aw25[iso_week],$B17,flu_aw25[icb],N$6)/SUMIFS(flu_aw25[flhcw],flu_aw25[iso_week],$B17,flu_aw25[icb],N$6),NA())</f>
        <v>0.35991946724485058</v>
      </c>
      <c r="O17" s="24">
        <f>SUMIFS(flu_aw24[cumulative_aw24_vve],flu_aw24[iso_week],$B17,flu_aw24[trust_short],O$6)/SUMIFS(flu_aw24[flhcw],flu_aw24[iso_week],$B17,flu_aw24[trust_short],O$6)</f>
        <v>0.33881436607529208</v>
      </c>
      <c r="P17" s="24">
        <f>IFERROR(SUMIFS(flu_aw25[cumulative_aw25_vve],flu_aw25[iso_week],$B17,flu_aw25[trust_short],P$6)/SUMIFS(flu_aw25[flhcw],flu_aw25[iso_week],$B17,flu_aw25[trust_short],P$6),NA())</f>
        <v>0.28530217798932639</v>
      </c>
      <c r="R17"/>
    </row>
    <row r="18" spans="2:18" x14ac:dyDescent="0.35">
      <c r="B18" s="2">
        <v>49</v>
      </c>
      <c r="C18" s="24">
        <f>SUMIFS(flu_aw24[cumulative_aw24_vve],flu_aw24[iso_week],$B18)/SUMIFS(flu_aw24[flhcw],flu_aw24[iso_week],$B18)</f>
        <v>0.28987582595176237</v>
      </c>
      <c r="D18" s="24">
        <f>IFERROR(SUMIFS(flu_aw25[cumulative_aw25_vve],flu_aw25[iso_week],$B18)/SUMIFS(flu_aw25[flhcw],flu_aw25[iso_week],$B18),NA())</f>
        <v>0.34725262361148046</v>
      </c>
      <c r="E18" s="24">
        <f>SUMIFS(flu_aw24[cumulative_aw24_vve],flu_aw24[iso_week],$B18,flu_aw24[icb],E$6)/SUMIFS(flu_aw24[flhcw],flu_aw24[iso_week],$B18,flu_aw24[icb],E$6)</f>
        <v>0.28819819072122166</v>
      </c>
      <c r="F18" s="24">
        <f>IFERROR(SUMIFS(flu_aw25[cumulative_aw25_vve],flu_aw25[iso_week],$B18,flu_aw25[icb],F$6)/SUMIFS(flu_aw25[flhcw],flu_aw25[iso_week],$B18,flu_aw25[icb],F$6),NA())</f>
        <v>0.34809942733836835</v>
      </c>
      <c r="G18" s="24">
        <f>SUMIFS(flu_aw24[cumulative_aw24_vve],flu_aw24[iso_week],$B18,flu_aw24[icb],G$6)/SUMIFS(flu_aw24[flhcw],flu_aw24[iso_week],$B18,flu_aw24[icb],G$6)</f>
        <v>0.26116115894552777</v>
      </c>
      <c r="H18" s="24">
        <f>IFERROR(SUMIFS(flu_aw25[cumulative_aw25_vve],flu_aw25[iso_week],$B18,flu_aw25[icb],H$6)/SUMIFS(flu_aw25[flhcw],flu_aw25[iso_week],$B18,flu_aw25[icb],H$6),NA())</f>
        <v>0.30357024281192591</v>
      </c>
      <c r="I18" s="24">
        <f>SUMIFS(flu_aw24[cumulative_aw24_vve],flu_aw24[iso_week],$B18,flu_aw24[icb],I$6)/SUMIFS(flu_aw24[flhcw],flu_aw24[iso_week],$B18,flu_aw24[icb],I$6)</f>
        <v>0.28848782392814304</v>
      </c>
      <c r="J18" s="24">
        <f>IFERROR(SUMIFS(flu_aw25[cumulative_aw25_vve],flu_aw25[iso_week],$B18,flu_aw25[icb],J$6)/SUMIFS(flu_aw25[flhcw],flu_aw25[iso_week],$B18,flu_aw25[icb],J$6),NA())</f>
        <v>0.35264581996708416</v>
      </c>
      <c r="K18" s="24">
        <f>SUMIFS(flu_aw24[cumulative_aw24_vve],flu_aw24[iso_week],$B18,flu_aw24[icb],K$6)/SUMIFS(flu_aw24[flhcw],flu_aw24[iso_week],$B18,flu_aw24[icb],K$6)</f>
        <v>0.28959980237154148</v>
      </c>
      <c r="L18" s="24">
        <f>IFERROR(SUMIFS(flu_aw25[cumulative_aw25_vve],flu_aw25[iso_week],$B18,flu_aw25[icb],L$6)/SUMIFS(flu_aw25[flhcw],flu_aw25[iso_week],$B18,flu_aw25[icb],L$6),NA())</f>
        <v>0.37159090909090908</v>
      </c>
      <c r="M18" s="24">
        <f>SUMIFS(flu_aw24[cumulative_aw24_vve],flu_aw24[iso_week],$B18,flu_aw24[icb],M$6)/SUMIFS(flu_aw24[flhcw],flu_aw24[iso_week],$B18,flu_aw24[icb],M$6)</f>
        <v>0.3455939290692272</v>
      </c>
      <c r="N18" s="24">
        <f>IFERROR(SUMIFS(flu_aw25[cumulative_aw25_vve],flu_aw25[iso_week],$B18,flu_aw25[icb],N$6)/SUMIFS(flu_aw25[flhcw],flu_aw25[iso_week],$B18,flu_aw25[icb],N$6),NA())</f>
        <v>0.37645191265293482</v>
      </c>
      <c r="O18" s="24">
        <f>SUMIFS(flu_aw24[cumulative_aw24_vve],flu_aw24[iso_week],$B18,flu_aw24[trust_short],O$6)/SUMIFS(flu_aw24[flhcw],flu_aw24[iso_week],$B18,flu_aw24[trust_short],O$6)</f>
        <v>0.35150728400403863</v>
      </c>
      <c r="P18" s="24">
        <f>IFERROR(SUMIFS(flu_aw25[cumulative_aw25_vve],flu_aw25[iso_week],$B18,flu_aw25[trust_short],P$6)/SUMIFS(flu_aw25[flhcw],flu_aw25[iso_week],$B18,flu_aw25[trust_short],P$6),NA())</f>
        <v>0.30679359584595411</v>
      </c>
      <c r="R18"/>
    </row>
    <row r="19" spans="2:18" x14ac:dyDescent="0.35">
      <c r="B19" s="2">
        <v>50</v>
      </c>
      <c r="C19" s="24">
        <f>SUMIFS(flu_aw24[cumulative_aw24_vve],flu_aw24[iso_week],$B19)/SUMIFS(flu_aw24[flhcw],flu_aw24[iso_week],$B19)</f>
        <v>0.30113229548104659</v>
      </c>
      <c r="D19" s="24">
        <f>IFERROR(SUMIFS(flu_aw25[cumulative_aw25_vve],flu_aw25[iso_week],$B19)/SUMIFS(flu_aw25[flhcw],flu_aw25[iso_week],$B19),NA())</f>
        <v>0.36506556471574986</v>
      </c>
      <c r="E19" s="24">
        <f>SUMIFS(flu_aw24[cumulative_aw24_vve],flu_aw24[iso_week],$B19,flu_aw24[icb],E$6)/SUMIFS(flu_aw24[flhcw],flu_aw24[iso_week],$B19,flu_aw24[icb],E$6)</f>
        <v>0.29971366918416464</v>
      </c>
      <c r="F19" s="24">
        <f>IFERROR(SUMIFS(flu_aw25[cumulative_aw25_vve],flu_aw25[iso_week],$B19,flu_aw25[icb],F$6)/SUMIFS(flu_aw25[flhcw],flu_aw25[iso_week],$B19,flu_aw25[icb],F$6),NA())</f>
        <v>0.36671093036766539</v>
      </c>
      <c r="G19" s="24">
        <f>SUMIFS(flu_aw24[cumulative_aw24_vve],flu_aw24[iso_week],$B19,flu_aw24[icb],G$6)/SUMIFS(flu_aw24[flhcw],flu_aw24[iso_week],$B19,flu_aw24[icb],G$6)</f>
        <v>0.2698598906571637</v>
      </c>
      <c r="H19" s="24">
        <f>IFERROR(SUMIFS(flu_aw25[cumulative_aw25_vve],flu_aw25[iso_week],$B19,flu_aw25[icb],H$6)/SUMIFS(flu_aw25[flhcw],flu_aw25[iso_week],$B19,flu_aw25[icb],H$6),NA())</f>
        <v>0.3205914252196817</v>
      </c>
      <c r="I19" s="24">
        <f>SUMIFS(flu_aw24[cumulative_aw24_vve],flu_aw24[iso_week],$B19,flu_aw24[icb],I$6)/SUMIFS(flu_aw24[flhcw],flu_aw24[iso_week],$B19,flu_aw24[icb],I$6)</f>
        <v>0.30165416050656924</v>
      </c>
      <c r="J19" s="24">
        <f>IFERROR(SUMIFS(flu_aw25[cumulative_aw25_vve],flu_aw25[iso_week],$B19,flu_aw25[icb],J$6)/SUMIFS(flu_aw25[flhcw],flu_aw25[iso_week],$B19,flu_aw25[icb],J$6),NA())</f>
        <v>0.36902005634745738</v>
      </c>
      <c r="K19" s="24">
        <f>SUMIFS(flu_aw24[cumulative_aw24_vve],flu_aw24[iso_week],$B19,flu_aw24[icb],K$6)/SUMIFS(flu_aw24[flhcw],flu_aw24[iso_week],$B19,flu_aw24[icb],K$6)</f>
        <v>0.3021986166007905</v>
      </c>
      <c r="L19" s="24">
        <f>IFERROR(SUMIFS(flu_aw25[cumulative_aw25_vve],flu_aw25[iso_week],$B19,flu_aw25[icb],L$6)/SUMIFS(flu_aw25[flhcw],flu_aw25[iso_week],$B19,flu_aw25[icb],L$6),NA())</f>
        <v>0.3895009881422925</v>
      </c>
      <c r="M19" s="24">
        <f>SUMIFS(flu_aw24[cumulative_aw24_vve],flu_aw24[iso_week],$B19,flu_aw24[icb],M$6)/SUMIFS(flu_aw24[flhcw],flu_aw24[iso_week],$B19,flu_aw24[icb],M$6)</f>
        <v>0.35608641784110268</v>
      </c>
      <c r="N19" s="24">
        <f>IFERROR(SUMIFS(flu_aw25[cumulative_aw25_vve],flu_aw25[iso_week],$B19,flu_aw25[icb],N$6)/SUMIFS(flu_aw25[flhcw],flu_aw25[iso_week],$B19,flu_aw25[icb],N$6),NA())</f>
        <v>0.39600433637912341</v>
      </c>
      <c r="O19" s="24">
        <f>SUMIFS(flu_aw24[cumulative_aw24_vve],flu_aw24[iso_week],$B19,flu_aw24[trust_short],O$6)/SUMIFS(flu_aw24[flhcw],flu_aw24[iso_week],$B19,flu_aw24[trust_short],O$6)</f>
        <v>0.36405596422904946</v>
      </c>
      <c r="P19" s="24">
        <f>IFERROR(SUMIFS(flu_aw25[cumulative_aw25_vve],flu_aw25[iso_week],$B19,flu_aw25[trust_short],P$6)/SUMIFS(flu_aw25[flhcw],flu_aw25[iso_week],$B19,flu_aw25[trust_short],P$6),NA())</f>
        <v>0.33016010385114669</v>
      </c>
      <c r="R19"/>
    </row>
    <row r="20" spans="2:18" x14ac:dyDescent="0.35">
      <c r="B20" s="2">
        <v>51</v>
      </c>
      <c r="C20" s="24">
        <f>SUMIFS(flu_aw24[cumulative_aw24_vve],flu_aw24[iso_week],$B20)/SUMIFS(flu_aw24[flhcw],flu_aw24[iso_week],$B20)</f>
        <v>0.31080334676676963</v>
      </c>
      <c r="D20" s="24">
        <f>IFERROR(SUMIFS(flu_aw25[cumulative_aw25_vve],flu_aw25[iso_week],$B20)/SUMIFS(flu_aw25[flhcw],flu_aw25[iso_week],$B20),NA())</f>
        <v>0.38005543849600065</v>
      </c>
      <c r="E20" s="24">
        <f>SUMIFS(flu_aw24[cumulative_aw24_vve],flu_aw24[iso_week],$B20,flu_aw24[icb],E$6)/SUMIFS(flu_aw24[flhcw],flu_aw24[iso_week],$B20,flu_aw24[icb],E$6)</f>
        <v>0.30855257697734251</v>
      </c>
      <c r="F20" s="24">
        <f>IFERROR(SUMIFS(flu_aw25[cumulative_aw25_vve],flu_aw25[iso_week],$B20,flu_aw25[icb],F$6)/SUMIFS(flu_aw25[flhcw],flu_aw25[iso_week],$B20,flu_aw25[icb],F$6),NA())</f>
        <v>0.38167067806456967</v>
      </c>
      <c r="G20" s="24">
        <f>SUMIFS(flu_aw24[cumulative_aw24_vve],flu_aw24[iso_week],$B20,flu_aw24[icb],G$6)/SUMIFS(flu_aw24[flhcw],flu_aw24[iso_week],$B20,flu_aw24[icb],G$6)</f>
        <v>0.27811593882113372</v>
      </c>
      <c r="H20" s="24">
        <f>IFERROR(SUMIFS(flu_aw25[cumulative_aw25_vve],flu_aw25[iso_week],$B20,flu_aw25[icb],H$6)/SUMIFS(flu_aw25[flhcw],flu_aw25[iso_week],$B20,flu_aw25[icb],H$6),NA())</f>
        <v>0.33604108103322339</v>
      </c>
      <c r="I20" s="24">
        <f>SUMIFS(flu_aw24[cumulative_aw24_vve],flu_aw24[iso_week],$B20,flu_aw24[icb],I$6)/SUMIFS(flu_aw24[flhcw],flu_aw24[iso_week],$B20,flu_aw24[icb],I$6)</f>
        <v>0.31339786325978408</v>
      </c>
      <c r="J20" s="24">
        <f>IFERROR(SUMIFS(flu_aw25[cumulative_aw25_vve],flu_aw25[iso_week],$B20,flu_aw25[icb],J$6)/SUMIFS(flu_aw25[flhcw],flu_aw25[iso_week],$B20,flu_aw25[icb],J$6),NA())</f>
        <v>0.38349744762754889</v>
      </c>
      <c r="K20" s="24">
        <f>SUMIFS(flu_aw24[cumulative_aw24_vve],flu_aw24[iso_week],$B20,flu_aw24[icb],K$6)/SUMIFS(flu_aw24[flhcw],flu_aw24[iso_week],$B20,flu_aw24[icb],K$6)</f>
        <v>0.31074604743083006</v>
      </c>
      <c r="L20" s="24">
        <f>IFERROR(SUMIFS(flu_aw25[cumulative_aw25_vve],flu_aw25[iso_week],$B20,flu_aw25[icb],L$6)/SUMIFS(flu_aw25[flhcw],flu_aw25[iso_week],$B20,flu_aw25[icb],L$6),NA())</f>
        <v>0.40501482213438733</v>
      </c>
      <c r="M20" s="24">
        <f>SUMIFS(flu_aw24[cumulative_aw24_vve],flu_aw24[iso_week],$B20,flu_aw24[icb],M$6)/SUMIFS(flu_aw24[flhcw],flu_aw24[iso_week],$B20,flu_aw24[icb],M$6)</f>
        <v>0.36866966083320429</v>
      </c>
      <c r="N20" s="24">
        <f>IFERROR(SUMIFS(flu_aw25[cumulative_aw25_vve],flu_aw25[iso_week],$B20,flu_aw25[icb],N$6)/SUMIFS(flu_aw25[flhcw],flu_aw25[iso_week],$B20,flu_aw25[icb],N$6),NA())</f>
        <v>0.41013628620102216</v>
      </c>
      <c r="O20" s="24">
        <f>SUMIFS(flu_aw24[cumulative_aw24_vve],flu_aw24[iso_week],$B20,flu_aw24[trust_short],O$6)/SUMIFS(flu_aw24[flhcw],flu_aw24[iso_week],$B20,flu_aw24[trust_short],O$6)</f>
        <v>0.37501802971296699</v>
      </c>
      <c r="P20" s="24">
        <f>IFERROR(SUMIFS(flu_aw25[cumulative_aw25_vve],flu_aw25[iso_week],$B20,flu_aw25[trust_short],P$6)/SUMIFS(flu_aw25[flhcw],flu_aw25[iso_week],$B20,flu_aw25[trust_short],P$6),NA())</f>
        <v>0.35208423481898166</v>
      </c>
      <c r="R20"/>
    </row>
    <row r="21" spans="2:18" x14ac:dyDescent="0.35">
      <c r="B21" s="2">
        <v>52</v>
      </c>
      <c r="C21" s="24">
        <f>SUMIFS(flu_aw24[cumulative_aw24_vve],flu_aw24[iso_week],$B21)/SUMIFS(flu_aw24[flhcw],flu_aw24[iso_week],$B21)</f>
        <v>0.31001986201129</v>
      </c>
      <c r="D21" s="24">
        <f>IFERROR(SUMIFS(flu_aw25[cumulative_aw25_vve],flu_aw25[iso_week],$B21)/SUMIFS(flu_aw25[flhcw],flu_aw25[iso_week],$B21),NA())</f>
        <v>0.38269950698606875</v>
      </c>
      <c r="E21" s="24">
        <f>SUMIFS(flu_aw24[cumulative_aw24_vve],flu_aw24[iso_week],$B21,flu_aw24[icb],E$6)/SUMIFS(flu_aw24[flhcw],flu_aw24[iso_week],$B21,flu_aw24[icb],E$6)</f>
        <v>0.31044944760629395</v>
      </c>
      <c r="F21" s="24">
        <f>IFERROR(SUMIFS(flu_aw25[cumulative_aw25_vve],flu_aw25[iso_week],$B21,flu_aw25[icb],F$6)/SUMIFS(flu_aw25[flhcw],flu_aw25[iso_week],$B21,flu_aw25[icb],F$6),NA())</f>
        <v>0.38422275707527598</v>
      </c>
      <c r="G21" s="24">
        <f>SUMIFS(flu_aw24[cumulative_aw24_vve],flu_aw24[iso_week],$B21,flu_aw24[icb],G$6)/SUMIFS(flu_aw24[flhcw],flu_aw24[iso_week],$B21,flu_aw24[icb],G$6)</f>
        <v>0.27904557427123222</v>
      </c>
      <c r="H21" s="24">
        <f>IFERROR(SUMIFS(flu_aw25[cumulative_aw25_vve],flu_aw25[iso_week],$B21,flu_aw25[icb],H$6)/SUMIFS(flu_aw25[flhcw],flu_aw25[iso_week],$B21,flu_aw25[icb],H$6),NA())</f>
        <v>0.33940547599548465</v>
      </c>
      <c r="I21" s="24">
        <f>SUMIFS(flu_aw24[cumulative_aw24_vve],flu_aw24[iso_week],$B21,flu_aw24[icb],I$6)/SUMIFS(flu_aw24[flhcw],flu_aw24[iso_week],$B21,flu_aw24[icb],I$6)</f>
        <v>0.31434628580992496</v>
      </c>
      <c r="J21" s="24">
        <f>IFERROR(SUMIFS(flu_aw25[cumulative_aw25_vve],flu_aw25[iso_week],$B21,flu_aw25[icb],J$6)/SUMIFS(flu_aw25[flhcw],flu_aw25[iso_week],$B21,flu_aw25[icb],J$6),NA())</f>
        <v>0.38572903009846859</v>
      </c>
      <c r="K21" s="24">
        <f>SUMIFS(flu_aw24[cumulative_aw24_vve],flu_aw24[iso_week],$B21,flu_aw24[icb],K$6)/SUMIFS(flu_aw24[flhcw],flu_aw24[iso_week],$B21,flu_aw24[icb],K$6)</f>
        <v>0.31269762845849802</v>
      </c>
      <c r="L21" s="24">
        <f>IFERROR(SUMIFS(flu_aw25[cumulative_aw25_vve],flu_aw25[iso_week],$B21,flu_aw25[icb],L$6)/SUMIFS(flu_aw25[flhcw],flu_aw25[iso_week],$B21,flu_aw25[icb],L$6),NA())</f>
        <v>0.40783102766798418</v>
      </c>
      <c r="M21" s="24">
        <f>SUMIFS(flu_aw24[cumulative_aw24_vve],flu_aw24[iso_week],$B21,flu_aw24[icb],M$6)/SUMIFS(flu_aw24[flhcw],flu_aw24[iso_week],$B21,flu_aw24[icb],M$6)</f>
        <v>0.36067211625794732</v>
      </c>
      <c r="N21" s="24">
        <f>IFERROR(SUMIFS(flu_aw25[cumulative_aw25_vve],flu_aw25[iso_week],$B21,flu_aw25[icb],N$6)/SUMIFS(flu_aw25[flhcw],flu_aw25[iso_week],$B21,flu_aw25[icb],N$6),NA())</f>
        <v>0.41199473439677869</v>
      </c>
      <c r="O21" s="24">
        <f>SUMIFS(flu_aw24[cumulative_aw24_vve],flu_aw24[iso_week],$B21,flu_aw24[trust_short],O$6)/SUMIFS(flu_aw24[flhcw],flu_aw24[iso_week],$B21,flu_aw24[trust_short],O$6)</f>
        <v>0.3753065051204385</v>
      </c>
      <c r="P21" s="24">
        <f>IFERROR(SUMIFS(flu_aw25[cumulative_aw25_vve],flu_aw25[iso_week],$B21,flu_aw25[trust_short],P$6)/SUMIFS(flu_aw25[flhcw],flu_aw25[iso_week],$B21,flu_aw25[trust_short],P$6),NA())</f>
        <v>0.35641136593105438</v>
      </c>
      <c r="R21"/>
    </row>
    <row r="22" spans="2:18" x14ac:dyDescent="0.35">
      <c r="B22" s="2">
        <v>1</v>
      </c>
      <c r="C22" s="24">
        <f>SUMIFS(flu_aw24[cumulative_aw24_vve],flu_aw24[iso_week],$B22)/SUMIFS(flu_aw24[flhcw],flu_aw24[iso_week],$B22)</f>
        <v>0.31400739725745136</v>
      </c>
      <c r="D22" s="24">
        <f>IFERROR(SUMIFS(flu_aw25[cumulative_aw25_vve],flu_aw25[iso_week],$B22)/SUMIFS(flu_aw25[flhcw],flu_aw25[iso_week],$B22),NA())</f>
        <v>0.38466046368169432</v>
      </c>
      <c r="E22" s="24">
        <f>SUMIFS(flu_aw24[cumulative_aw24_vve],flu_aw24[iso_week],$B22,flu_aw24[icb],E$6)/SUMIFS(flu_aw24[flhcw],flu_aw24[iso_week],$B22,flu_aw24[icb],E$6)</f>
        <v>0.31186150886941655</v>
      </c>
      <c r="F22" s="24">
        <f>IFERROR(SUMIFS(flu_aw25[cumulative_aw25_vve],flu_aw25[iso_week],$B22,flu_aw25[icb],F$6)/SUMIFS(flu_aw25[flhcw],flu_aw25[iso_week],$B22,flu_aw25[icb],F$6),NA())</f>
        <v>0.38648980802644406</v>
      </c>
      <c r="G22" s="24">
        <f>SUMIFS(flu_aw24[cumulative_aw24_vve],flu_aw24[iso_week],$B22,flu_aw24[icb],G$6)/SUMIFS(flu_aw24[flhcw],flu_aw24[iso_week],$B22,flu_aw24[icb],G$6)</f>
        <v>0.28030722238208017</v>
      </c>
      <c r="H22" s="24">
        <f>IFERROR(SUMIFS(flu_aw25[cumulative_aw25_vve],flu_aw25[iso_week],$B22,flu_aw25[icb],H$6)/SUMIFS(flu_aw25[flhcw],flu_aw25[iso_week],$B22,flu_aw25[icb],H$6),NA())</f>
        <v>0.34106553929923195</v>
      </c>
      <c r="I22" s="24">
        <f>SUMIFS(flu_aw24[cumulative_aw24_vve],flu_aw24[iso_week],$B22,flu_aw24[icb],I$6)/SUMIFS(flu_aw24[flhcw],flu_aw24[iso_week],$B22,flu_aw24[icb],I$6)</f>
        <v>0.31646628915729869</v>
      </c>
      <c r="J22" s="24">
        <f>IFERROR(SUMIFS(flu_aw25[cumulative_aw25_vve],flu_aw25[iso_week],$B22,flu_aw25[icb],J$6)/SUMIFS(flu_aw25[flhcw],flu_aw25[iso_week],$B22,flu_aw25[icb],J$6),NA())</f>
        <v>0.38787692822672876</v>
      </c>
      <c r="K22" s="24">
        <f>SUMIFS(flu_aw24[cumulative_aw24_vve],flu_aw24[iso_week],$B22,flu_aw24[icb],K$6)/SUMIFS(flu_aw24[flhcw],flu_aw24[iso_week],$B22,flu_aw24[icb],K$6)</f>
        <v>0.31568675889328063</v>
      </c>
      <c r="L22" s="24">
        <f>IFERROR(SUMIFS(flu_aw25[cumulative_aw25_vve],flu_aw25[iso_week],$B22,flu_aw25[icb],L$6)/SUMIFS(flu_aw25[flhcw],flu_aw25[iso_week],$B22,flu_aw25[icb],L$6),NA())</f>
        <v>0.40963438735177865</v>
      </c>
      <c r="M22" s="24">
        <f>SUMIFS(flu_aw24[cumulative_aw24_vve],flu_aw24[iso_week],$B22,flu_aw24[icb],M$6)/SUMIFS(flu_aw24[flhcw],flu_aw24[iso_week],$B22,flu_aw24[icb],M$6)</f>
        <v>0.37079913272417531</v>
      </c>
      <c r="N22" s="24">
        <f>IFERROR(SUMIFS(flu_aw25[cumulative_aw25_vve],flu_aw25[iso_week],$B22,flu_aw25[icb],N$6)/SUMIFS(flu_aw25[flhcw],flu_aw25[iso_week],$B22,flu_aw25[icb],N$6),NA())</f>
        <v>0.41396933560477001</v>
      </c>
      <c r="O22" s="24">
        <f>SUMIFS(flu_aw24[cumulative_aw24_vve],flu_aw24[iso_week],$B22,flu_aw24[trust_short],O$6)/SUMIFS(flu_aw24[flhcw],flu_aw24[iso_week],$B22,flu_aw24[trust_short],O$6)</f>
        <v>0.37631616904658877</v>
      </c>
      <c r="P22" s="24">
        <f>IFERROR(SUMIFS(flu_aw25[cumulative_aw25_vve],flu_aw25[iso_week],$B22,flu_aw25[trust_short],P$6)/SUMIFS(flu_aw25[flhcw],flu_aw25[iso_week],$B22,flu_aw25[trust_short],P$6),NA())</f>
        <v>0.35799798067214772</v>
      </c>
      <c r="R22"/>
    </row>
    <row r="23" spans="2:18" x14ac:dyDescent="0.35">
      <c r="B23" s="2">
        <v>2</v>
      </c>
      <c r="C23" s="24">
        <f>SUMIFS(flu_aw24[cumulative_aw24_vve],flu_aw24[iso_week],$B23)/SUMIFS(flu_aw24[flhcw],flu_aw24[iso_week],$B23)</f>
        <v>0.32034356934935015</v>
      </c>
      <c r="D23" s="24">
        <f>IFERROR(SUMIFS(flu_aw25[cumulative_aw25_vve],flu_aw25[iso_week],$B23)/SUMIFS(flu_aw25[flhcw],flu_aw25[iso_week],$B23),NA())</f>
        <v>0.38833029887691017</v>
      </c>
      <c r="E23" s="24">
        <f>SUMIFS(flu_aw24[cumulative_aw24_vve],flu_aw24[iso_week],$B23,flu_aw24[icb],E$6)/SUMIFS(flu_aw24[flhcw],flu_aw24[iso_week],$B23,flu_aw24[icb],E$6)</f>
        <v>0.31831687311683965</v>
      </c>
      <c r="F23" s="24">
        <f>IFERROR(SUMIFS(flu_aw25[cumulative_aw25_vve],flu_aw25[iso_week],$B23,flu_aw25[icb],F$6)/SUMIFS(flu_aw25[flhcw],flu_aw25[iso_week],$B23,flu_aw25[icb],F$6),NA())</f>
        <v>0.39117354137272803</v>
      </c>
      <c r="G23" s="24">
        <f>SUMIFS(flu_aw24[cumulative_aw24_vve],flu_aw24[iso_week],$B23,flu_aw24[icb],G$6)/SUMIFS(flu_aw24[flhcw],flu_aw24[iso_week],$B23,flu_aw24[icb],G$6)</f>
        <v>0.28555302242192171</v>
      </c>
      <c r="H23" s="24">
        <f>IFERROR(SUMIFS(flu_aw25[cumulative_aw25_vve],flu_aw25[iso_week],$B23,flu_aw25[icb],H$6)/SUMIFS(flu_aw25[flhcw],flu_aw25[iso_week],$B23,flu_aw25[icb],H$6),NA())</f>
        <v>0.34535956971159165</v>
      </c>
      <c r="I23" s="24">
        <f>SUMIFS(flu_aw24[cumulative_aw24_vve],flu_aw24[iso_week],$B23,flu_aw24[icb],I$6)/SUMIFS(flu_aw24[flhcw],flu_aw24[iso_week],$B23,flu_aw24[icb],I$6)</f>
        <v>0.32062261150938659</v>
      </c>
      <c r="J23" s="24">
        <f>IFERROR(SUMIFS(flu_aw25[cumulative_aw25_vve],flu_aw25[iso_week],$B23,flu_aw25[icb],J$6)/SUMIFS(flu_aw25[flhcw],flu_aw25[iso_week],$B23,flu_aw25[icb],J$6),NA())</f>
        <v>0.39024798460208093</v>
      </c>
      <c r="K23" s="24">
        <f>SUMIFS(flu_aw24[cumulative_aw24_vve],flu_aw24[iso_week],$B23,flu_aw24[icb],K$6)/SUMIFS(flu_aw24[flhcw],flu_aw24[iso_week],$B23,flu_aw24[icb],K$6)</f>
        <v>0.3240118577075099</v>
      </c>
      <c r="L23" s="24">
        <f>IFERROR(SUMIFS(flu_aw25[cumulative_aw25_vve],flu_aw25[iso_week],$B23,flu_aw25[icb],L$6)/SUMIFS(flu_aw25[flhcw],flu_aw25[iso_week],$B23,flu_aw25[icb],L$6),NA())</f>
        <v>0.41240118577075097</v>
      </c>
      <c r="M23" s="24">
        <f>SUMIFS(flu_aw24[cumulative_aw24_vve],flu_aw24[iso_week],$B23,flu_aw24[icb],M$6)/SUMIFS(flu_aw24[flhcw],flu_aw24[iso_week],$B23,flu_aw24[icb],M$6)</f>
        <v>0.37881369056837538</v>
      </c>
      <c r="N23" s="24">
        <f>IFERROR(SUMIFS(flu_aw25[cumulative_aw25_vve],flu_aw25[iso_week],$B23,flu_aw25[icb],N$6)/SUMIFS(flu_aw25[flhcw],flu_aw25[iso_week],$B23,flu_aw25[icb],N$6),NA())</f>
        <v>0.41780238500851791</v>
      </c>
      <c r="O23" s="24">
        <f>SUMIFS(flu_aw24[cumulative_aw24_vve],flu_aw24[iso_week],$B23,flu_aw24[trust_short],O$6)/SUMIFS(flu_aw24[flhcw],flu_aw24[iso_week],$B23,flu_aw24[trust_short],O$6)</f>
        <v>0.38756670993797776</v>
      </c>
      <c r="P23" s="24">
        <f>IFERROR(SUMIFS(flu_aw25[cumulative_aw25_vve],flu_aw25[iso_week],$B23,flu_aw25[trust_short],P$6)/SUMIFS(flu_aw25[flhcw],flu_aw25[iso_week],$B23,flu_aw25[trust_short],P$6),NA())</f>
        <v>0.36477715274772826</v>
      </c>
      <c r="R23"/>
    </row>
    <row r="24" spans="2:18" x14ac:dyDescent="0.35">
      <c r="B24" s="2">
        <v>3</v>
      </c>
      <c r="C24" s="24">
        <f>SUMIFS(flu_aw24[cumulative_aw24_vve],flu_aw24[iso_week],$B24)/SUMIFS(flu_aw24[flhcw],flu_aw24[iso_week],$B24)</f>
        <v>0.32483685534848517</v>
      </c>
      <c r="D24" s="24">
        <f>IFERROR(SUMIFS(flu_aw25[cumulative_aw25_vve],flu_aw25[iso_week],$B24)/SUMIFS(flu_aw25[flhcw],flu_aw25[iso_week],$B24),NA())</f>
        <v>0.39123519423930608</v>
      </c>
      <c r="E24" s="24">
        <f>SUMIFS(flu_aw24[cumulative_aw24_vve],flu_aw24[iso_week],$B24,flu_aw24[icb],E$6)/SUMIFS(flu_aw24[flhcw],flu_aw24[iso_week],$B24,flu_aw24[icb],E$6)</f>
        <v>0.32347082745456057</v>
      </c>
      <c r="F24" s="24">
        <f>IFERROR(SUMIFS(flu_aw25[cumulative_aw25_vve],flu_aw25[iso_week],$B24,flu_aw25[icb],F$6)/SUMIFS(flu_aw25[flhcw],flu_aw25[iso_week],$B24,flu_aw25[icb],F$6),NA())</f>
        <v>0.39397460370155202</v>
      </c>
      <c r="G24" s="24">
        <f>SUMIFS(flu_aw24[cumulative_aw24_vve],flu_aw24[iso_week],$B24,flu_aw24[icb],G$6)/SUMIFS(flu_aw24[flhcw],flu_aw24[iso_week],$B24,flu_aw24[icb],G$6)</f>
        <v>0.28880674649726645</v>
      </c>
      <c r="H24" s="24">
        <f>IFERROR(SUMIFS(flu_aw25[cumulative_aw25_vve],flu_aw25[iso_week],$B24,flu_aw25[icb],H$6)/SUMIFS(flu_aw25[flhcw],flu_aw25[iso_week],$B24,flu_aw25[icb],H$6),NA())</f>
        <v>0.34839195201310341</v>
      </c>
      <c r="I24" s="24">
        <f>SUMIFS(flu_aw24[cumulative_aw24_vve],flu_aw24[iso_week],$B24,flu_aw24[icb],I$6)/SUMIFS(flu_aw24[flhcw],flu_aw24[iso_week],$B24,flu_aw24[icb],I$6)</f>
        <v>0.32310524700828475</v>
      </c>
      <c r="J24" s="24">
        <f>IFERROR(SUMIFS(flu_aw25[cumulative_aw25_vve],flu_aw25[iso_week],$B24,flu_aw25[icb],J$6)/SUMIFS(flu_aw25[flhcw],flu_aw25[iso_week],$B24,flu_aw25[icb],J$6),NA())</f>
        <v>0.39231219838768167</v>
      </c>
      <c r="K24" s="24">
        <f>SUMIFS(flu_aw24[cumulative_aw24_vve],flu_aw24[iso_week],$B24,flu_aw24[icb],K$6)/SUMIFS(flu_aw24[flhcw],flu_aw24[iso_week],$B24,flu_aw24[icb],K$6)</f>
        <v>0.32979249011857709</v>
      </c>
      <c r="L24" s="24">
        <f>IFERROR(SUMIFS(flu_aw25[cumulative_aw25_vve],flu_aw25[iso_week],$B24,flu_aw25[icb],L$6)/SUMIFS(flu_aw25[flhcw],flu_aw25[iso_week],$B24,flu_aw25[icb],L$6),NA())</f>
        <v>0.41588438735177868</v>
      </c>
      <c r="M24" s="24">
        <f>SUMIFS(flu_aw24[cumulative_aw24_vve],flu_aw24[iso_week],$B24,flu_aw24[icb],M$6)/SUMIFS(flu_aw24[flhcw],flu_aw24[iso_week],$B24,flu_aw24[icb],M$6)</f>
        <v>0.38504723555830883</v>
      </c>
      <c r="N24" s="24">
        <f>IFERROR(SUMIFS(flu_aw25[cumulative_aw25_vve],flu_aw25[iso_week],$B24,flu_aw25[icb],N$6)/SUMIFS(flu_aw25[flhcw],flu_aw25[iso_week],$B24,flu_aw25[icb],N$6),NA())</f>
        <v>0.42093851633885704</v>
      </c>
      <c r="O24" s="24">
        <f>SUMIFS(flu_aw24[cumulative_aw24_vve],flu_aw24[iso_week],$B24,flu_aw24[trust_short],O$6)/SUMIFS(flu_aw24[flhcw],flu_aw24[iso_week],$B24,flu_aw24[trust_short],O$6)</f>
        <v>0.39434588201355836</v>
      </c>
      <c r="P24" s="24">
        <f>IFERROR(SUMIFS(flu_aw25[cumulative_aw25_vve],flu_aw25[iso_week],$B24,flu_aw25[trust_short],P$6)/SUMIFS(flu_aw25[flhcw],flu_aw25[iso_week],$B24,flu_aw25[trust_short],P$6),NA())</f>
        <v>0.3719890379345161</v>
      </c>
      <c r="R24"/>
    </row>
    <row r="25" spans="2:18" x14ac:dyDescent="0.35">
      <c r="B25" s="2">
        <v>4</v>
      </c>
      <c r="C25" s="24">
        <f>SUMIFS(flu_aw24[cumulative_aw24_vve],flu_aw24[iso_week],$B25)/SUMIFS(flu_aw24[flhcw],flu_aw24[iso_week],$B25)</f>
        <v>0.32808720429666682</v>
      </c>
      <c r="D25" s="24">
        <f>IFERROR(SUMIFS(flu_aw25[cumulative_aw25_vve],flu_aw25[iso_week],$B25)/SUMIFS(flu_aw25[flhcw],flu_aw25[iso_week],$B25),NA())</f>
        <v>0.39182667250401315</v>
      </c>
      <c r="E25" s="24">
        <f>SUMIFS(flu_aw24[cumulative_aw24_vve],flu_aw24[iso_week],$B25,flu_aw24[icb],E$6)/SUMIFS(flu_aw24[flhcw],flu_aw24[iso_week],$B25,flu_aw24[icb],E$6)</f>
        <v>0.32645631067961167</v>
      </c>
      <c r="F25" s="24">
        <f>IFERROR(SUMIFS(flu_aw25[cumulative_aw25_vve],flu_aw25[iso_week],$B25,flu_aw25[icb],F$6)/SUMIFS(flu_aw25[flhcw],flu_aw25[iso_week],$B25,flu_aw25[icb],F$6),NA())</f>
        <v>0.3958212299775915</v>
      </c>
      <c r="G25" s="24">
        <f>SUMIFS(flu_aw24[cumulative_aw24_vve],flu_aw24[iso_week],$B25,flu_aw24[icb],G$6)/SUMIFS(flu_aw24[flhcw],flu_aw24[iso_week],$B25,flu_aw24[icb],G$6)</f>
        <v>0.29133004271896235</v>
      </c>
      <c r="H25" s="24">
        <f>IFERROR(SUMIFS(flu_aw25[cumulative_aw25_vve],flu_aw25[iso_week],$B25,flu_aw25[icb],H$6)/SUMIFS(flu_aw25[flhcw],flu_aw25[iso_week],$B25,flu_aw25[icb],H$6),NA())</f>
        <v>0.34033481874021437</v>
      </c>
      <c r="I25" s="24">
        <f>SUMIFS(flu_aw24[cumulative_aw24_vve],flu_aw24[iso_week],$B25,flu_aw24[icb],I$6)/SUMIFS(flu_aw24[flhcw],flu_aw24[iso_week],$B25,flu_aw24[icb],I$6)</f>
        <v>0.3264526207146643</v>
      </c>
      <c r="J25" s="24">
        <f>IFERROR(SUMIFS(flu_aw25[cumulative_aw25_vve],flu_aw25[iso_week],$B25,flu_aw25[icb],J$6)/SUMIFS(flu_aw25[flhcw],flu_aw25[iso_week],$B25,flu_aw25[icb],J$6),NA())</f>
        <v>0.39415325392619038</v>
      </c>
      <c r="K25" s="24">
        <f>SUMIFS(flu_aw24[cumulative_aw24_vve],flu_aw24[iso_week],$B25,flu_aw24[icb],K$6)/SUMIFS(flu_aw24[flhcw],flu_aw24[iso_week],$B25,flu_aw24[icb],K$6)</f>
        <v>0.33357213438735178</v>
      </c>
      <c r="L25" s="24">
        <f>IFERROR(SUMIFS(flu_aw25[cumulative_aw25_vve],flu_aw25[iso_week],$B25,flu_aw25[icb],L$6)/SUMIFS(flu_aw25[flhcw],flu_aw25[iso_week],$B25,flu_aw25[icb],L$6),NA())</f>
        <v>0.41746541501976286</v>
      </c>
      <c r="M25" s="24">
        <f>SUMIFS(flu_aw24[cumulative_aw24_vve],flu_aw24[iso_week],$B25,flu_aw24[icb],M$6)/SUMIFS(flu_aw24[flhcw],flu_aw24[iso_week],$B25,flu_aw24[icb],M$6)</f>
        <v>0.3890738733157813</v>
      </c>
      <c r="N25" s="24">
        <f>IFERROR(SUMIFS(flu_aw25[cumulative_aw25_vve],flu_aw25[iso_week],$B25,flu_aw25[icb],N$6)/SUMIFS(flu_aw25[flhcw],flu_aw25[iso_week],$B25,flu_aw25[icb],N$6),NA())</f>
        <v>0.4237261886324919</v>
      </c>
      <c r="O25" s="24">
        <f>SUMIFS(flu_aw24[cumulative_aw24_vve],flu_aw24[iso_week],$B25,flu_aw24[trust_short],O$6)/SUMIFS(flu_aw24[flhcw],flu_aw24[iso_week],$B25,flu_aw24[trust_short],O$6)</f>
        <v>0.39924996394057405</v>
      </c>
      <c r="P25" s="24">
        <f>IFERROR(SUMIFS(flu_aw25[cumulative_aw25_vve],flu_aw25[iso_week],$B25,flu_aw25[trust_short],P$6)/SUMIFS(flu_aw25[flhcw],flu_aw25[iso_week],$B25,flu_aw25[trust_short],P$6),NA())</f>
        <v>0.37689311986153179</v>
      </c>
      <c r="R25"/>
    </row>
    <row r="26" spans="2:18" x14ac:dyDescent="0.35">
      <c r="R26"/>
    </row>
    <row r="27" spans="2:18" x14ac:dyDescent="0.35">
      <c r="R27"/>
    </row>
    <row r="28" spans="2:18" x14ac:dyDescent="0.35">
      <c r="R28"/>
    </row>
    <row r="29" spans="2:18" x14ac:dyDescent="0.35">
      <c r="R29"/>
    </row>
    <row r="30" spans="2:18" x14ac:dyDescent="0.35">
      <c r="R30"/>
    </row>
    <row r="31" spans="2:18" x14ac:dyDescent="0.35">
      <c r="R31"/>
    </row>
    <row r="32" spans="2:18" x14ac:dyDescent="0.35">
      <c r="R32"/>
    </row>
    <row r="33" spans="18:18" x14ac:dyDescent="0.35">
      <c r="R33"/>
    </row>
    <row r="34" spans="18:18" x14ac:dyDescent="0.35">
      <c r="R34"/>
    </row>
    <row r="35" spans="18:18" x14ac:dyDescent="0.35">
      <c r="R35"/>
    </row>
    <row r="36" spans="18:18" x14ac:dyDescent="0.35">
      <c r="R36"/>
    </row>
    <row r="37" spans="18:18" x14ac:dyDescent="0.35">
      <c r="R37"/>
    </row>
    <row r="38" spans="18:18" x14ac:dyDescent="0.35">
      <c r="R38"/>
    </row>
    <row r="39" spans="18:18" x14ac:dyDescent="0.35">
      <c r="R39"/>
    </row>
    <row r="40" spans="18:18" x14ac:dyDescent="0.35">
      <c r="R40"/>
    </row>
    <row r="41" spans="18:18" x14ac:dyDescent="0.35">
      <c r="R41"/>
    </row>
    <row r="42" spans="18:18" x14ac:dyDescent="0.35">
      <c r="R42"/>
    </row>
    <row r="43" spans="18:18" x14ac:dyDescent="0.35">
      <c r="R43"/>
    </row>
    <row r="44" spans="18:18" x14ac:dyDescent="0.35">
      <c r="R44"/>
    </row>
    <row r="45" spans="18:18" x14ac:dyDescent="0.35">
      <c r="R45"/>
    </row>
    <row r="46" spans="18:18" x14ac:dyDescent="0.35">
      <c r="R46"/>
    </row>
    <row r="47" spans="18:18" x14ac:dyDescent="0.35">
      <c r="R47"/>
    </row>
    <row r="48" spans="18:18" x14ac:dyDescent="0.35">
      <c r="R48"/>
    </row>
    <row r="49" spans="18:18" x14ac:dyDescent="0.35">
      <c r="R49"/>
    </row>
    <row r="50" spans="18:18" x14ac:dyDescent="0.35">
      <c r="R50"/>
    </row>
    <row r="51" spans="18:18" x14ac:dyDescent="0.35">
      <c r="R51"/>
    </row>
    <row r="52" spans="18:18" x14ac:dyDescent="0.35">
      <c r="R52"/>
    </row>
    <row r="53" spans="18:18" x14ac:dyDescent="0.35">
      <c r="R53"/>
    </row>
    <row r="54" spans="18:18" x14ac:dyDescent="0.35">
      <c r="R54"/>
    </row>
    <row r="55" spans="18:18" x14ac:dyDescent="0.35">
      <c r="R55"/>
    </row>
    <row r="56" spans="18:18" x14ac:dyDescent="0.35">
      <c r="R56"/>
    </row>
    <row r="57" spans="18:18" x14ac:dyDescent="0.35">
      <c r="R57"/>
    </row>
    <row r="58" spans="18:18" x14ac:dyDescent="0.35">
      <c r="R58"/>
    </row>
    <row r="59" spans="18:18" x14ac:dyDescent="0.35">
      <c r="R59"/>
    </row>
    <row r="60" spans="18:18" x14ac:dyDescent="0.35">
      <c r="R60"/>
    </row>
    <row r="61" spans="18:18" x14ac:dyDescent="0.35">
      <c r="R61"/>
    </row>
    <row r="62" spans="18:18" x14ac:dyDescent="0.35">
      <c r="R62"/>
    </row>
    <row r="63" spans="18:18" x14ac:dyDescent="0.35">
      <c r="R63"/>
    </row>
    <row r="64" spans="18:18" x14ac:dyDescent="0.35">
      <c r="R64"/>
    </row>
    <row r="65" spans="18:18" x14ac:dyDescent="0.35">
      <c r="R65"/>
    </row>
    <row r="66" spans="18:18" x14ac:dyDescent="0.35">
      <c r="R66"/>
    </row>
    <row r="67" spans="18:18" x14ac:dyDescent="0.35">
      <c r="R67"/>
    </row>
    <row r="68" spans="18:18" x14ac:dyDescent="0.35">
      <c r="R68"/>
    </row>
    <row r="69" spans="18:18" x14ac:dyDescent="0.35">
      <c r="R69"/>
    </row>
    <row r="70" spans="18:18" x14ac:dyDescent="0.35">
      <c r="R70"/>
    </row>
    <row r="71" spans="18:18" x14ac:dyDescent="0.35">
      <c r="R71"/>
    </row>
    <row r="72" spans="18:18" x14ac:dyDescent="0.35">
      <c r="R72"/>
    </row>
    <row r="73" spans="18:18" x14ac:dyDescent="0.35">
      <c r="R73"/>
    </row>
    <row r="74" spans="18:18" x14ac:dyDescent="0.35">
      <c r="R74"/>
    </row>
    <row r="75" spans="18:18" x14ac:dyDescent="0.35">
      <c r="R75"/>
    </row>
    <row r="76" spans="18:18" x14ac:dyDescent="0.35">
      <c r="R76"/>
    </row>
    <row r="77" spans="18:18" x14ac:dyDescent="0.35">
      <c r="R77"/>
    </row>
    <row r="78" spans="18:18" x14ac:dyDescent="0.35">
      <c r="R78"/>
    </row>
    <row r="79" spans="18:18" x14ac:dyDescent="0.35">
      <c r="R79"/>
    </row>
    <row r="80" spans="18:18" x14ac:dyDescent="0.35">
      <c r="R80"/>
    </row>
    <row r="81" spans="18:18" x14ac:dyDescent="0.35">
      <c r="R81"/>
    </row>
    <row r="82" spans="18:18" x14ac:dyDescent="0.35">
      <c r="R82"/>
    </row>
    <row r="83" spans="18:18" x14ac:dyDescent="0.35">
      <c r="R83"/>
    </row>
    <row r="84" spans="18:18" x14ac:dyDescent="0.35">
      <c r="R84"/>
    </row>
    <row r="85" spans="18:18" x14ac:dyDescent="0.35">
      <c r="R85"/>
    </row>
    <row r="86" spans="18:18" x14ac:dyDescent="0.35">
      <c r="R86"/>
    </row>
    <row r="87" spans="18:18" x14ac:dyDescent="0.35">
      <c r="R87"/>
    </row>
    <row r="88" spans="18:18" x14ac:dyDescent="0.35">
      <c r="R88"/>
    </row>
    <row r="89" spans="18:18" x14ac:dyDescent="0.35">
      <c r="R89"/>
    </row>
    <row r="90" spans="18:18" x14ac:dyDescent="0.35">
      <c r="R90"/>
    </row>
    <row r="91" spans="18:18" x14ac:dyDescent="0.35">
      <c r="R91"/>
    </row>
    <row r="92" spans="18:18" x14ac:dyDescent="0.35">
      <c r="R92"/>
    </row>
    <row r="93" spans="18:18" x14ac:dyDescent="0.35">
      <c r="R93"/>
    </row>
    <row r="94" spans="18:18" x14ac:dyDescent="0.35">
      <c r="R94"/>
    </row>
    <row r="95" spans="18:18" x14ac:dyDescent="0.35">
      <c r="R95"/>
    </row>
    <row r="96" spans="18:18" x14ac:dyDescent="0.35">
      <c r="R96"/>
    </row>
    <row r="97" spans="18:18" x14ac:dyDescent="0.35">
      <c r="R97"/>
    </row>
    <row r="98" spans="18:18" x14ac:dyDescent="0.35">
      <c r="R98"/>
    </row>
    <row r="99" spans="18:18" x14ac:dyDescent="0.35">
      <c r="R99"/>
    </row>
    <row r="100" spans="18:18" x14ac:dyDescent="0.35">
      <c r="R100"/>
    </row>
    <row r="101" spans="18:18" x14ac:dyDescent="0.35">
      <c r="R101"/>
    </row>
    <row r="102" spans="18:18" x14ac:dyDescent="0.35">
      <c r="R102"/>
    </row>
    <row r="103" spans="18:18" x14ac:dyDescent="0.35">
      <c r="R103"/>
    </row>
    <row r="104" spans="18:18" x14ac:dyDescent="0.35">
      <c r="R104"/>
    </row>
    <row r="105" spans="18:18" x14ac:dyDescent="0.35">
      <c r="R105"/>
    </row>
    <row r="106" spans="18:18" x14ac:dyDescent="0.35">
      <c r="R106"/>
    </row>
    <row r="107" spans="18:18" x14ac:dyDescent="0.35">
      <c r="R107"/>
    </row>
    <row r="108" spans="18:18" x14ac:dyDescent="0.35">
      <c r="R108"/>
    </row>
    <row r="109" spans="18:18" x14ac:dyDescent="0.35">
      <c r="R109"/>
    </row>
    <row r="110" spans="18:18" x14ac:dyDescent="0.35">
      <c r="R110"/>
    </row>
    <row r="111" spans="18:18" x14ac:dyDescent="0.35">
      <c r="R111"/>
    </row>
    <row r="112" spans="18:18" x14ac:dyDescent="0.35">
      <c r="R112"/>
    </row>
    <row r="113" spans="18:18" x14ac:dyDescent="0.35">
      <c r="R113"/>
    </row>
    <row r="114" spans="18:18" x14ac:dyDescent="0.35">
      <c r="R114"/>
    </row>
    <row r="115" spans="18:18" x14ac:dyDescent="0.35">
      <c r="R115"/>
    </row>
    <row r="116" spans="18:18" x14ac:dyDescent="0.35">
      <c r="R116"/>
    </row>
    <row r="117" spans="18:18" x14ac:dyDescent="0.35">
      <c r="R117"/>
    </row>
    <row r="118" spans="18:18" x14ac:dyDescent="0.35">
      <c r="R118"/>
    </row>
    <row r="119" spans="18:18" x14ac:dyDescent="0.35">
      <c r="R119"/>
    </row>
    <row r="120" spans="18:18" x14ac:dyDescent="0.35">
      <c r="R120"/>
    </row>
    <row r="121" spans="18:18" x14ac:dyDescent="0.35">
      <c r="R121"/>
    </row>
    <row r="122" spans="18:18" x14ac:dyDescent="0.35">
      <c r="R122"/>
    </row>
    <row r="123" spans="18:18" x14ac:dyDescent="0.35">
      <c r="R123"/>
    </row>
    <row r="124" spans="18:18" x14ac:dyDescent="0.35">
      <c r="R124"/>
    </row>
    <row r="125" spans="18:18" x14ac:dyDescent="0.35">
      <c r="R125"/>
    </row>
    <row r="126" spans="18:18" x14ac:dyDescent="0.35">
      <c r="R126"/>
    </row>
    <row r="127" spans="18:18" x14ac:dyDescent="0.35">
      <c r="R127"/>
    </row>
    <row r="128" spans="18:18" x14ac:dyDescent="0.35">
      <c r="R128"/>
    </row>
    <row r="129" spans="18:18" x14ac:dyDescent="0.35">
      <c r="R129"/>
    </row>
    <row r="130" spans="18:18" x14ac:dyDescent="0.35">
      <c r="R130"/>
    </row>
    <row r="131" spans="18:18" x14ac:dyDescent="0.35">
      <c r="R131"/>
    </row>
    <row r="132" spans="18:18" x14ac:dyDescent="0.35">
      <c r="R132"/>
    </row>
    <row r="133" spans="18:18" x14ac:dyDescent="0.35">
      <c r="R133"/>
    </row>
    <row r="134" spans="18:18" x14ac:dyDescent="0.35">
      <c r="R134"/>
    </row>
    <row r="135" spans="18:18" x14ac:dyDescent="0.35">
      <c r="R135"/>
    </row>
    <row r="136" spans="18:18" x14ac:dyDescent="0.35">
      <c r="R136"/>
    </row>
    <row r="137" spans="18:18" x14ac:dyDescent="0.35">
      <c r="R137"/>
    </row>
    <row r="138" spans="18:18" x14ac:dyDescent="0.35">
      <c r="R138"/>
    </row>
    <row r="139" spans="18:18" x14ac:dyDescent="0.35">
      <c r="R139"/>
    </row>
    <row r="140" spans="18:18" x14ac:dyDescent="0.35">
      <c r="R140"/>
    </row>
    <row r="141" spans="18:18" x14ac:dyDescent="0.35">
      <c r="R141"/>
    </row>
    <row r="142" spans="18:18" x14ac:dyDescent="0.35">
      <c r="R142"/>
    </row>
    <row r="143" spans="18:18" x14ac:dyDescent="0.35">
      <c r="R143"/>
    </row>
    <row r="144" spans="18:18" x14ac:dyDescent="0.35">
      <c r="R144"/>
    </row>
    <row r="145" spans="18:18" x14ac:dyDescent="0.35">
      <c r="R145"/>
    </row>
    <row r="146" spans="18:18" x14ac:dyDescent="0.35">
      <c r="R146"/>
    </row>
    <row r="147" spans="18:18" x14ac:dyDescent="0.35">
      <c r="R147"/>
    </row>
    <row r="148" spans="18:18" x14ac:dyDescent="0.35">
      <c r="R148"/>
    </row>
    <row r="149" spans="18:18" x14ac:dyDescent="0.35">
      <c r="R149"/>
    </row>
    <row r="150" spans="18:18" x14ac:dyDescent="0.35">
      <c r="R150"/>
    </row>
    <row r="151" spans="18:18" x14ac:dyDescent="0.35">
      <c r="R151"/>
    </row>
    <row r="152" spans="18:18" x14ac:dyDescent="0.35">
      <c r="R152"/>
    </row>
    <row r="153" spans="18:18" x14ac:dyDescent="0.35">
      <c r="R153"/>
    </row>
    <row r="154" spans="18:18" x14ac:dyDescent="0.35">
      <c r="R154"/>
    </row>
    <row r="155" spans="18:18" x14ac:dyDescent="0.35">
      <c r="R155"/>
    </row>
    <row r="156" spans="18:18" x14ac:dyDescent="0.35">
      <c r="R156"/>
    </row>
    <row r="157" spans="18:18" x14ac:dyDescent="0.35">
      <c r="R157"/>
    </row>
    <row r="158" spans="18:18" x14ac:dyDescent="0.35">
      <c r="R158"/>
    </row>
    <row r="159" spans="18:18" x14ac:dyDescent="0.35">
      <c r="R159"/>
    </row>
    <row r="160" spans="18:18" x14ac:dyDescent="0.35">
      <c r="R160"/>
    </row>
    <row r="161" spans="18:18" x14ac:dyDescent="0.35">
      <c r="R161"/>
    </row>
    <row r="162" spans="18:18" x14ac:dyDescent="0.35">
      <c r="R162"/>
    </row>
    <row r="163" spans="18:18" x14ac:dyDescent="0.35">
      <c r="R163"/>
    </row>
    <row r="164" spans="18:18" x14ac:dyDescent="0.35">
      <c r="R164"/>
    </row>
    <row r="165" spans="18:18" x14ac:dyDescent="0.35">
      <c r="R165"/>
    </row>
    <row r="166" spans="18:18" x14ac:dyDescent="0.35">
      <c r="R166"/>
    </row>
    <row r="167" spans="18:18" x14ac:dyDescent="0.35">
      <c r="R167"/>
    </row>
    <row r="168" spans="18:18" x14ac:dyDescent="0.35">
      <c r="R168"/>
    </row>
    <row r="169" spans="18:18" x14ac:dyDescent="0.35">
      <c r="R169"/>
    </row>
    <row r="170" spans="18:18" x14ac:dyDescent="0.35">
      <c r="R170"/>
    </row>
    <row r="171" spans="18:18" x14ac:dyDescent="0.35">
      <c r="R171"/>
    </row>
    <row r="172" spans="18:18" x14ac:dyDescent="0.35">
      <c r="R172"/>
    </row>
    <row r="173" spans="18:18" x14ac:dyDescent="0.35">
      <c r="R173"/>
    </row>
    <row r="174" spans="18:18" x14ac:dyDescent="0.35">
      <c r="R174"/>
    </row>
    <row r="175" spans="18:18" x14ac:dyDescent="0.35">
      <c r="R175"/>
    </row>
    <row r="176" spans="18:18" x14ac:dyDescent="0.35">
      <c r="R176"/>
    </row>
    <row r="177" spans="18:18" x14ac:dyDescent="0.35">
      <c r="R177"/>
    </row>
    <row r="178" spans="18:18" x14ac:dyDescent="0.35">
      <c r="R178"/>
    </row>
    <row r="179" spans="18:18" x14ac:dyDescent="0.35">
      <c r="R179"/>
    </row>
    <row r="180" spans="18:18" x14ac:dyDescent="0.35">
      <c r="R180"/>
    </row>
    <row r="181" spans="18:18" x14ac:dyDescent="0.35">
      <c r="R181"/>
    </row>
    <row r="182" spans="18:18" x14ac:dyDescent="0.35">
      <c r="R182"/>
    </row>
    <row r="183" spans="18:18" x14ac:dyDescent="0.35">
      <c r="R183"/>
    </row>
    <row r="184" spans="18:18" x14ac:dyDescent="0.35">
      <c r="R184"/>
    </row>
    <row r="185" spans="18:18" x14ac:dyDescent="0.35">
      <c r="R185"/>
    </row>
    <row r="186" spans="18:18" x14ac:dyDescent="0.35">
      <c r="R186"/>
    </row>
    <row r="187" spans="18:18" x14ac:dyDescent="0.35">
      <c r="R187"/>
    </row>
    <row r="188" spans="18:18" x14ac:dyDescent="0.35">
      <c r="R188"/>
    </row>
    <row r="189" spans="18:18" x14ac:dyDescent="0.35">
      <c r="R189"/>
    </row>
    <row r="190" spans="18:18" x14ac:dyDescent="0.35">
      <c r="R190"/>
    </row>
    <row r="191" spans="18:18" x14ac:dyDescent="0.35">
      <c r="R191"/>
    </row>
    <row r="192" spans="18:18" x14ac:dyDescent="0.35">
      <c r="R192"/>
    </row>
    <row r="193" spans="18:18" x14ac:dyDescent="0.35">
      <c r="R193"/>
    </row>
    <row r="194" spans="18:18" x14ac:dyDescent="0.35">
      <c r="R194"/>
    </row>
    <row r="195" spans="18:18" x14ac:dyDescent="0.35">
      <c r="R195"/>
    </row>
    <row r="196" spans="18:18" x14ac:dyDescent="0.35">
      <c r="R196"/>
    </row>
    <row r="197" spans="18:18" x14ac:dyDescent="0.35">
      <c r="R197"/>
    </row>
    <row r="198" spans="18:18" x14ac:dyDescent="0.35">
      <c r="R198"/>
    </row>
    <row r="199" spans="18:18" x14ac:dyDescent="0.35">
      <c r="R199"/>
    </row>
    <row r="200" spans="18:18" x14ac:dyDescent="0.35">
      <c r="R200"/>
    </row>
    <row r="201" spans="18:18" x14ac:dyDescent="0.35">
      <c r="R201"/>
    </row>
    <row r="202" spans="18:18" x14ac:dyDescent="0.35">
      <c r="R202"/>
    </row>
    <row r="203" spans="18:18" x14ac:dyDescent="0.35">
      <c r="R203"/>
    </row>
    <row r="204" spans="18:18" x14ac:dyDescent="0.35">
      <c r="R204"/>
    </row>
    <row r="205" spans="18:18" x14ac:dyDescent="0.35">
      <c r="R205"/>
    </row>
    <row r="206" spans="18:18" x14ac:dyDescent="0.35">
      <c r="R206"/>
    </row>
    <row r="207" spans="18:18" x14ac:dyDescent="0.35">
      <c r="R207"/>
    </row>
    <row r="208" spans="18:18" x14ac:dyDescent="0.35">
      <c r="R208"/>
    </row>
    <row r="209" spans="18:18" x14ac:dyDescent="0.35">
      <c r="R209"/>
    </row>
    <row r="210" spans="18:18" x14ac:dyDescent="0.35">
      <c r="R210"/>
    </row>
    <row r="211" spans="18:18" x14ac:dyDescent="0.35">
      <c r="R211"/>
    </row>
    <row r="212" spans="18:18" x14ac:dyDescent="0.35">
      <c r="R212"/>
    </row>
    <row r="213" spans="18:18" x14ac:dyDescent="0.35">
      <c r="R213"/>
    </row>
    <row r="214" spans="18:18" x14ac:dyDescent="0.35">
      <c r="R214"/>
    </row>
    <row r="215" spans="18:18" x14ac:dyDescent="0.35">
      <c r="R215"/>
    </row>
    <row r="216" spans="18:18" x14ac:dyDescent="0.35">
      <c r="R216"/>
    </row>
    <row r="217" spans="18:18" x14ac:dyDescent="0.35">
      <c r="R217"/>
    </row>
    <row r="218" spans="18:18" x14ac:dyDescent="0.35">
      <c r="R218"/>
    </row>
    <row r="219" spans="18:18" x14ac:dyDescent="0.35">
      <c r="R219"/>
    </row>
    <row r="220" spans="18:18" x14ac:dyDescent="0.35">
      <c r="R220"/>
    </row>
    <row r="221" spans="18:18" x14ac:dyDescent="0.35">
      <c r="R221"/>
    </row>
    <row r="222" spans="18:18" x14ac:dyDescent="0.35">
      <c r="R222"/>
    </row>
    <row r="223" spans="18:18" x14ac:dyDescent="0.35">
      <c r="R223"/>
    </row>
    <row r="224" spans="18:18" x14ac:dyDescent="0.35">
      <c r="R224"/>
    </row>
    <row r="225" spans="18:18" x14ac:dyDescent="0.35">
      <c r="R225"/>
    </row>
    <row r="226" spans="18:18" x14ac:dyDescent="0.35">
      <c r="R226"/>
    </row>
    <row r="227" spans="18:18" x14ac:dyDescent="0.35">
      <c r="R227"/>
    </row>
    <row r="228" spans="18:18" x14ac:dyDescent="0.35">
      <c r="R228"/>
    </row>
    <row r="229" spans="18:18" x14ac:dyDescent="0.35">
      <c r="R229"/>
    </row>
    <row r="230" spans="18:18" x14ac:dyDescent="0.35">
      <c r="R230"/>
    </row>
    <row r="231" spans="18:18" x14ac:dyDescent="0.35">
      <c r="R231"/>
    </row>
    <row r="232" spans="18:18" x14ac:dyDescent="0.35">
      <c r="R232"/>
    </row>
    <row r="233" spans="18:18" x14ac:dyDescent="0.35">
      <c r="R233"/>
    </row>
    <row r="234" spans="18:18" x14ac:dyDescent="0.35">
      <c r="R234"/>
    </row>
    <row r="235" spans="18:18" x14ac:dyDescent="0.35">
      <c r="R235"/>
    </row>
    <row r="236" spans="18:18" x14ac:dyDescent="0.35">
      <c r="R236"/>
    </row>
    <row r="237" spans="18:18" x14ac:dyDescent="0.35">
      <c r="R237"/>
    </row>
    <row r="238" spans="18:18" x14ac:dyDescent="0.35">
      <c r="R238"/>
    </row>
    <row r="239" spans="18:18" x14ac:dyDescent="0.35">
      <c r="R239"/>
    </row>
    <row r="240" spans="18:18" x14ac:dyDescent="0.35">
      <c r="R240"/>
    </row>
    <row r="241" spans="18:18" x14ac:dyDescent="0.35">
      <c r="R241"/>
    </row>
    <row r="242" spans="18:18" x14ac:dyDescent="0.35">
      <c r="R242"/>
    </row>
    <row r="243" spans="18:18" x14ac:dyDescent="0.35">
      <c r="R243"/>
    </row>
    <row r="244" spans="18:18" x14ac:dyDescent="0.35">
      <c r="R244"/>
    </row>
    <row r="245" spans="18:18" x14ac:dyDescent="0.35">
      <c r="R245"/>
    </row>
    <row r="246" spans="18:18" x14ac:dyDescent="0.35">
      <c r="R246"/>
    </row>
    <row r="247" spans="18:18" x14ac:dyDescent="0.35">
      <c r="R247"/>
    </row>
    <row r="248" spans="18:18" x14ac:dyDescent="0.35">
      <c r="R248"/>
    </row>
    <row r="249" spans="18:18" x14ac:dyDescent="0.35">
      <c r="R249"/>
    </row>
    <row r="250" spans="18:18" x14ac:dyDescent="0.35">
      <c r="R250"/>
    </row>
    <row r="251" spans="18:18" x14ac:dyDescent="0.35">
      <c r="R251"/>
    </row>
    <row r="252" spans="18:18" x14ac:dyDescent="0.35">
      <c r="R252"/>
    </row>
    <row r="253" spans="18:18" x14ac:dyDescent="0.35">
      <c r="R253"/>
    </row>
    <row r="254" spans="18:18" x14ac:dyDescent="0.35">
      <c r="R254"/>
    </row>
    <row r="255" spans="18:18" x14ac:dyDescent="0.35">
      <c r="R255"/>
    </row>
    <row r="256" spans="18:18" x14ac:dyDescent="0.35">
      <c r="R256"/>
    </row>
    <row r="257" spans="18:18" x14ac:dyDescent="0.35">
      <c r="R257"/>
    </row>
    <row r="258" spans="18:18" x14ac:dyDescent="0.35">
      <c r="R258"/>
    </row>
    <row r="259" spans="18:18" x14ac:dyDescent="0.35">
      <c r="R259"/>
    </row>
    <row r="260" spans="18:18" x14ac:dyDescent="0.35">
      <c r="R260"/>
    </row>
    <row r="261" spans="18:18" x14ac:dyDescent="0.35">
      <c r="R261"/>
    </row>
    <row r="262" spans="18:18" x14ac:dyDescent="0.35">
      <c r="R262"/>
    </row>
    <row r="263" spans="18:18" x14ac:dyDescent="0.35">
      <c r="R263"/>
    </row>
    <row r="264" spans="18:18" x14ac:dyDescent="0.35">
      <c r="R264"/>
    </row>
    <row r="265" spans="18:18" x14ac:dyDescent="0.35">
      <c r="R265"/>
    </row>
    <row r="266" spans="18:18" x14ac:dyDescent="0.35">
      <c r="R266"/>
    </row>
    <row r="267" spans="18:18" x14ac:dyDescent="0.35">
      <c r="R267"/>
    </row>
    <row r="268" spans="18:18" x14ac:dyDescent="0.35">
      <c r="R268"/>
    </row>
    <row r="269" spans="18:18" x14ac:dyDescent="0.35">
      <c r="R269"/>
    </row>
    <row r="270" spans="18:18" x14ac:dyDescent="0.35">
      <c r="R270"/>
    </row>
  </sheetData>
  <mergeCells count="2">
    <mergeCell ref="AL2:AM2"/>
    <mergeCell ref="AL3:AM3"/>
  </mergeCells>
  <pageMargins left="0.7" right="0.7" top="0.75" bottom="0.75" header="0.3" footer="0.3"/>
  <ignoredErrors>
    <ignoredError sqref="E8:E25 F8:F25 H8:H25 J8:J25 L8:L25 G8:G25 I8:I25 K8:K25 M8:M25 N8:N25 O8:O25" 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673B5075-271D-4A94-AF3C-047B93D3E464}">
          <x14:formula1>
            <xm:f>data1!$AI$5:$AI$36</xm:f>
          </x14:formula1>
          <xm:sqref>AL3:AM3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22B38-D2D1-4901-A1D0-5E5679D94DBC}">
  <sheetPr>
    <tabColor theme="8"/>
  </sheetPr>
  <dimension ref="B2:Z59"/>
  <sheetViews>
    <sheetView showGridLines="0" zoomScale="80" zoomScaleNormal="80" workbookViewId="0"/>
  </sheetViews>
  <sheetFormatPr defaultColWidth="8.54296875" defaultRowHeight="14.5" outlineLevelCol="1" x14ac:dyDescent="0.35"/>
  <cols>
    <col min="1" max="1" width="8.54296875" style="2"/>
    <col min="2" max="2" width="10.81640625" style="2" hidden="1" customWidth="1" outlineLevel="1"/>
    <col min="3" max="3" width="71.54296875" style="2" hidden="1" customWidth="1" outlineLevel="1"/>
    <col min="4" max="4" width="12.54296875" style="2" hidden="1" customWidth="1" outlineLevel="1"/>
    <col min="5" max="10" width="15.54296875" style="2" hidden="1" customWidth="1" outlineLevel="1"/>
    <col min="11" max="14" width="8.81640625" style="2" hidden="1" customWidth="1" outlineLevel="1"/>
    <col min="15" max="15" width="14" style="2" customWidth="1" collapsed="1"/>
    <col min="16" max="26" width="11.54296875" style="2" customWidth="1"/>
    <col min="27" max="16384" width="8.54296875" style="2"/>
  </cols>
  <sheetData>
    <row r="2" spans="2:26" ht="26" x14ac:dyDescent="0.6">
      <c r="O2" s="11" t="s">
        <v>593</v>
      </c>
    </row>
    <row r="4" spans="2:26" ht="46" customHeight="1" x14ac:dyDescent="0.35">
      <c r="O4" s="45" t="s">
        <v>544</v>
      </c>
      <c r="P4" s="45" t="s">
        <v>556</v>
      </c>
      <c r="Q4" s="45" t="s">
        <v>594</v>
      </c>
      <c r="R4" s="45" t="s">
        <v>595</v>
      </c>
      <c r="S4" s="45" t="s">
        <v>596</v>
      </c>
      <c r="T4" s="45" t="s">
        <v>597</v>
      </c>
      <c r="U4" s="45" t="s">
        <v>598</v>
      </c>
      <c r="V4" s="45" t="s">
        <v>599</v>
      </c>
      <c r="W4" s="45" t="s">
        <v>600</v>
      </c>
      <c r="X4" s="45" t="s">
        <v>601</v>
      </c>
      <c r="Y4" s="45" t="s">
        <v>602</v>
      </c>
      <c r="Z4" s="45" t="s">
        <v>603</v>
      </c>
    </row>
    <row r="5" spans="2:26" x14ac:dyDescent="0.35">
      <c r="N5" s="15"/>
      <c r="O5" s="5" t="s">
        <v>27</v>
      </c>
      <c r="P5" s="6">
        <f>SUMIFS(flu_location[aw25_vve],flu_location[icb],$O5)</f>
        <v>19264</v>
      </c>
      <c r="Q5" s="7">
        <f>SUMIFS(flu_location[aw25_vve],flu_location[icb],$O5,flu_location[location],F$13)/$P5</f>
        <v>0.73733388704318936</v>
      </c>
      <c r="R5" s="7">
        <f>SUMIFS(flu_location[aw25_vve],flu_location[icb],$O5,flu_location[location],G$13)/$P5</f>
        <v>0.12811461794019935</v>
      </c>
      <c r="S5" s="7">
        <f>SUMIFS(flu_location[aw25_vve],flu_location[icb],$O5,flu_location[location],H$13)/$P5</f>
        <v>0.1324750830564784</v>
      </c>
      <c r="T5" s="7">
        <f>SUMIFS(flu_location[aw25_vve],flu_location[icb],$O5,flu_location[location],I$13)/$P5</f>
        <v>5.191029900332226E-5</v>
      </c>
      <c r="U5" s="7">
        <f>SUMIFS(flu_location[aw25_vve],flu_location[icb],$O5,flu_location[location],J$13)/$P5</f>
        <v>2.0245016611295679E-3</v>
      </c>
      <c r="V5" s="6">
        <f>SUMIFS(flu_location[aw25_vve],flu_location[icb],$O5,flu_location[location],F$13)</f>
        <v>14204</v>
      </c>
      <c r="W5" s="6">
        <f>SUMIFS(flu_location[aw25_vve],flu_location[icb],$O5,flu_location[location],G$13)</f>
        <v>2468</v>
      </c>
      <c r="X5" s="6">
        <f>SUMIFS(flu_location[aw25_vve],flu_location[icb],$O5,flu_location[location],H$13)</f>
        <v>2552</v>
      </c>
      <c r="Y5" s="6">
        <f>SUMIFS(flu_location[aw25_vve],flu_location[icb],$O5,flu_location[location],I$13)</f>
        <v>1</v>
      </c>
      <c r="Z5" s="6">
        <f>SUMIFS(flu_location[aw25_vve],flu_location[icb],$O5,flu_location[location],J$13)</f>
        <v>39</v>
      </c>
    </row>
    <row r="6" spans="2:26" x14ac:dyDescent="0.35">
      <c r="N6" s="15"/>
      <c r="O6" s="5" t="s">
        <v>190</v>
      </c>
      <c r="P6" s="6">
        <f>SUMIFS(flu_location[aw25_vve],flu_location[icb],$O6)</f>
        <v>16120</v>
      </c>
      <c r="Q6" s="7">
        <f>SUMIFS(flu_location[aw25_vve],flu_location[icb],$O6,flu_location[location],F$13)/$P6</f>
        <v>0.69181141439205951</v>
      </c>
      <c r="R6" s="7">
        <f>SUMIFS(flu_location[aw25_vve],flu_location[icb],$O6,flu_location[location],G$13)/$P6</f>
        <v>0.15868486352357319</v>
      </c>
      <c r="S6" s="7">
        <f>SUMIFS(flu_location[aw25_vve],flu_location[icb],$O6,flu_location[location],H$13)/$P6</f>
        <v>0.14714640198511167</v>
      </c>
      <c r="T6" s="7">
        <f>SUMIFS(flu_location[aw25_vve],flu_location[icb],$O6,flu_location[location],I$13)/$P6</f>
        <v>6.2034739454094293E-5</v>
      </c>
      <c r="U6" s="7">
        <f>SUMIFS(flu_location[aw25_vve],flu_location[icb],$O6,flu_location[location],J$13)/$P6</f>
        <v>2.2952853598014887E-3</v>
      </c>
      <c r="V6" s="6">
        <f>SUMIFS(flu_location[aw25_vve],flu_location[icb],$O6,flu_location[location],F$13)</f>
        <v>11152</v>
      </c>
      <c r="W6" s="6">
        <f>SUMIFS(flu_location[aw25_vve],flu_location[icb],$O6,flu_location[location],G$13)</f>
        <v>2558</v>
      </c>
      <c r="X6" s="6">
        <f>SUMIFS(flu_location[aw25_vve],flu_location[icb],$O6,flu_location[location],H$13)</f>
        <v>2372</v>
      </c>
      <c r="Y6" s="6">
        <f>SUMIFS(flu_location[aw25_vve],flu_location[icb],$O6,flu_location[location],I$13)</f>
        <v>1</v>
      </c>
      <c r="Z6" s="6">
        <f>SUMIFS(flu_location[aw25_vve],flu_location[icb],$O6,flu_location[location],J$13)</f>
        <v>37</v>
      </c>
    </row>
    <row r="7" spans="2:26" x14ac:dyDescent="0.35">
      <c r="N7" s="15"/>
      <c r="O7" s="5" t="s">
        <v>192</v>
      </c>
      <c r="P7" s="6">
        <f>SUMIFS(flu_location[aw25_vve],flu_location[icb],$O7)</f>
        <v>14275</v>
      </c>
      <c r="Q7" s="7">
        <f>SUMIFS(flu_location[aw25_vve],flu_location[icb],$O7,flu_location[location],F$13)/$P7</f>
        <v>0.74143607705779335</v>
      </c>
      <c r="R7" s="7">
        <f>SUMIFS(flu_location[aw25_vve],flu_location[icb],$O7,flu_location[location],G$13)/$P7</f>
        <v>0.13057793345008756</v>
      </c>
      <c r="S7" s="7">
        <f>SUMIFS(flu_location[aw25_vve],flu_location[icb],$O7,flu_location[location],H$13)/$P7</f>
        <v>0.12483362521891418</v>
      </c>
      <c r="T7" s="7">
        <f>SUMIFS(flu_location[aw25_vve],flu_location[icb],$O7,flu_location[location],I$13)/$P7</f>
        <v>7.0052539404553412E-5</v>
      </c>
      <c r="U7" s="7">
        <f>SUMIFS(flu_location[aw25_vve],flu_location[icb],$O7,flu_location[location],J$13)/$P7</f>
        <v>3.0823117338003502E-3</v>
      </c>
      <c r="V7" s="6">
        <f>SUMIFS(flu_location[aw25_vve],flu_location[icb],$O7,flu_location[location],F$13)</f>
        <v>10584</v>
      </c>
      <c r="W7" s="6">
        <f>SUMIFS(flu_location[aw25_vve],flu_location[icb],$O7,flu_location[location],G$13)</f>
        <v>1864</v>
      </c>
      <c r="X7" s="6">
        <f>SUMIFS(flu_location[aw25_vve],flu_location[icb],$O7,flu_location[location],H$13)</f>
        <v>1782</v>
      </c>
      <c r="Y7" s="6">
        <f>SUMIFS(flu_location[aw25_vve],flu_location[icb],$O7,flu_location[location],I$13)</f>
        <v>1</v>
      </c>
      <c r="Z7" s="6">
        <f>SUMIFS(flu_location[aw25_vve],flu_location[icb],$O7,flu_location[location],J$13)</f>
        <v>44</v>
      </c>
    </row>
    <row r="8" spans="2:26" x14ac:dyDescent="0.35">
      <c r="N8" s="15"/>
      <c r="O8" s="5" t="s">
        <v>193</v>
      </c>
      <c r="P8" s="6">
        <f>SUMIFS(flu_location[aw25_vve],flu_location[icb],$O8)</f>
        <v>17099</v>
      </c>
      <c r="Q8" s="7">
        <f>SUMIFS(flu_location[aw25_vve],flu_location[icb],$O8,flu_location[location],F$13)/$P8</f>
        <v>0.76589274226562953</v>
      </c>
      <c r="R8" s="7">
        <f>SUMIFS(flu_location[aw25_vve],flu_location[icb],$O8,flu_location[location],G$13)/$P8</f>
        <v>0.12024094976314405</v>
      </c>
      <c r="S8" s="7">
        <f>SUMIFS(flu_location[aw25_vve],flu_location[icb],$O8,flu_location[location],H$13)/$P8</f>
        <v>0.11187788759576583</v>
      </c>
      <c r="T8" s="7">
        <f>SUMIFS(flu_location[aw25_vve],flu_location[icb],$O8,flu_location[location],I$13)/$P8</f>
        <v>1.1696590443885607E-4</v>
      </c>
      <c r="U8" s="7">
        <f>SUMIFS(flu_location[aw25_vve],flu_location[icb],$O8,flu_location[location],J$13)/$P8</f>
        <v>1.8714544710216972E-3</v>
      </c>
      <c r="V8" s="6">
        <f>SUMIFS(flu_location[aw25_vve],flu_location[icb],$O8,flu_location[location],F$13)</f>
        <v>13096</v>
      </c>
      <c r="W8" s="6">
        <f>SUMIFS(flu_location[aw25_vve],flu_location[icb],$O8,flu_location[location],G$13)</f>
        <v>2056</v>
      </c>
      <c r="X8" s="6">
        <f>SUMIFS(flu_location[aw25_vve],flu_location[icb],$O8,flu_location[location],H$13)</f>
        <v>1913</v>
      </c>
      <c r="Y8" s="6">
        <f>SUMIFS(flu_location[aw25_vve],flu_location[icb],$O8,flu_location[location],I$13)</f>
        <v>2</v>
      </c>
      <c r="Z8" s="6">
        <f>SUMIFS(flu_location[aw25_vve],flu_location[icb],$O8,flu_location[location],J$13)</f>
        <v>32</v>
      </c>
    </row>
    <row r="9" spans="2:26" x14ac:dyDescent="0.35">
      <c r="N9" s="15"/>
      <c r="O9" s="5" t="s">
        <v>194</v>
      </c>
      <c r="P9" s="6">
        <f>SUMIFS(flu_location[aw25_vve],flu_location[icb],$O9)</f>
        <v>11069</v>
      </c>
      <c r="Q9" s="7">
        <f>SUMIFS(flu_location[aw25_vve],flu_location[icb],$O9,flu_location[location],F$13)/$P9</f>
        <v>0.77992591923389643</v>
      </c>
      <c r="R9" s="7">
        <f>SUMIFS(flu_location[aw25_vve],flu_location[icb],$O9,flu_location[location],G$13)/$P9</f>
        <v>0.11374107868822839</v>
      </c>
      <c r="S9" s="7">
        <f>SUMIFS(flu_location[aw25_vve],flu_location[icb],$O9,flu_location[location],H$13)/$P9</f>
        <v>0.10497786611256663</v>
      </c>
      <c r="T9" s="7">
        <f>SUMIFS(flu_location[aw25_vve],flu_location[icb],$O9,flu_location[location],I$13)/$P9</f>
        <v>6.3239678381064228E-4</v>
      </c>
      <c r="U9" s="7">
        <f>SUMIFS(flu_location[aw25_vve],flu_location[icb],$O9,flu_location[location],J$13)/$P9</f>
        <v>7.2273918149787697E-4</v>
      </c>
      <c r="V9" s="6">
        <f>SUMIFS(flu_location[aw25_vve],flu_location[icb],$O9,flu_location[location],F$13)</f>
        <v>8633</v>
      </c>
      <c r="W9" s="6">
        <f>SUMIFS(flu_location[aw25_vve],flu_location[icb],$O9,flu_location[location],G$13)</f>
        <v>1259</v>
      </c>
      <c r="X9" s="6">
        <f>SUMIFS(flu_location[aw25_vve],flu_location[icb],$O9,flu_location[location],H$13)</f>
        <v>1162</v>
      </c>
      <c r="Y9" s="6">
        <f>SUMIFS(flu_location[aw25_vve],flu_location[icb],$O9,flu_location[location],I$13)</f>
        <v>7</v>
      </c>
      <c r="Z9" s="6">
        <f>SUMIFS(flu_location[aw25_vve],flu_location[icb],$O9,flu_location[location],J$13)</f>
        <v>8</v>
      </c>
    </row>
    <row r="10" spans="2:26" x14ac:dyDescent="0.35">
      <c r="O10" s="8" t="s">
        <v>160</v>
      </c>
      <c r="P10" s="9">
        <f>SUM(flu_location[aw25_vve])</f>
        <v>77827</v>
      </c>
      <c r="Q10" s="10">
        <f>SUMIFS(flu_location[aw25_vve],flu_location[location],F$13)/$P10</f>
        <v>0.74098963084790626</v>
      </c>
      <c r="R10" s="10">
        <f>SUMIFS(flu_location[aw25_vve],flu_location[location],G$13)/$P10</f>
        <v>0.13112415999588831</v>
      </c>
      <c r="S10" s="10">
        <f>SUMIFS(flu_location[aw25_vve],flu_location[location],H$13)/$P10</f>
        <v>0.12567617921800917</v>
      </c>
      <c r="T10" s="10">
        <f>SUMIFS(flu_location[aw25_vve],flu_location[location],I$13)/$P10</f>
        <v>1.5418813522299459E-4</v>
      </c>
      <c r="U10" s="10">
        <f>SUMIFS(flu_location[aw25_vve],flu_location[location],J$13)/$P10</f>
        <v>2.0558418029732613E-3</v>
      </c>
      <c r="V10" s="6">
        <f>SUM(V5:V9)</f>
        <v>57669</v>
      </c>
      <c r="W10" s="6">
        <f t="shared" ref="W10:Z10" si="0">SUM(W5:W9)</f>
        <v>10205</v>
      </c>
      <c r="X10" s="6">
        <f t="shared" si="0"/>
        <v>9781</v>
      </c>
      <c r="Y10" s="6">
        <f t="shared" si="0"/>
        <v>12</v>
      </c>
      <c r="Z10" s="6">
        <f t="shared" si="0"/>
        <v>160</v>
      </c>
    </row>
    <row r="12" spans="2:26" x14ac:dyDescent="0.35">
      <c r="O12" s="3" t="s">
        <v>604</v>
      </c>
    </row>
    <row r="13" spans="2:26" ht="46" customHeight="1" x14ac:dyDescent="0.35">
      <c r="B13" s="4" t="s">
        <v>18</v>
      </c>
      <c r="C13" s="4" t="s">
        <v>19</v>
      </c>
      <c r="D13" s="4" t="s">
        <v>20</v>
      </c>
      <c r="E13" s="4" t="s">
        <v>605</v>
      </c>
      <c r="F13" s="50" t="s">
        <v>521</v>
      </c>
      <c r="G13" s="4" t="s">
        <v>520</v>
      </c>
      <c r="H13" s="4" t="s">
        <v>522</v>
      </c>
      <c r="I13" s="50" t="s">
        <v>523</v>
      </c>
      <c r="J13" s="4" t="s">
        <v>524</v>
      </c>
      <c r="O13" s="45" t="s">
        <v>549</v>
      </c>
      <c r="P13" s="45" t="s">
        <v>556</v>
      </c>
      <c r="Q13" s="45" t="s">
        <v>594</v>
      </c>
      <c r="R13" s="45" t="s">
        <v>595</v>
      </c>
      <c r="S13" s="45" t="s">
        <v>596</v>
      </c>
      <c r="T13" s="45" t="s">
        <v>597</v>
      </c>
      <c r="U13" s="45" t="s">
        <v>598</v>
      </c>
      <c r="V13" s="45" t="s">
        <v>599</v>
      </c>
      <c r="W13" s="45" t="s">
        <v>600</v>
      </c>
      <c r="X13" s="45" t="s">
        <v>601</v>
      </c>
      <c r="Y13" s="45" t="s">
        <v>602</v>
      </c>
      <c r="Z13" s="45" t="s">
        <v>603</v>
      </c>
    </row>
    <row r="14" spans="2:26" x14ac:dyDescent="0.35">
      <c r="B14" s="5" t="s">
        <v>30</v>
      </c>
      <c r="C14" s="5" t="s">
        <v>31</v>
      </c>
      <c r="D14" s="5" t="s">
        <v>32</v>
      </c>
      <c r="E14" s="6">
        <f>SUMIFS(flu_location[aw25_vve],flu_location[trust_code],$B14)</f>
        <v>2738</v>
      </c>
      <c r="F14" s="7">
        <f>SUMIFS(flu_location[aw25_vve],flu_location[trust_code],$B14,flu_location[location],F$13)/$E14</f>
        <v>0.81738495252008769</v>
      </c>
      <c r="G14" s="7">
        <f>SUMIFS(flu_location[aw25_vve],flu_location[trust_code],$B14,flu_location[location],G$13)/$E14</f>
        <v>0.10920379839298758</v>
      </c>
      <c r="H14" s="7">
        <f>SUMIFS(flu_location[aw25_vve],flu_location[trust_code],$B14,flu_location[location],H$13)/$E14</f>
        <v>7.0124178232286338E-2</v>
      </c>
      <c r="I14" s="7">
        <f>SUMIFS(flu_location[aw25_vve],flu_location[trust_code],$B14,flu_location[location],I$13)/$E14</f>
        <v>0</v>
      </c>
      <c r="J14" s="7">
        <f>SUMIFS(flu_location[aw25_vve],flu_location[trust_code],$B14,flu_location[location],J$13)/$E14</f>
        <v>3.2870708546384221E-3</v>
      </c>
      <c r="K14" s="2">
        <f>IFERROR(_xlfn.RANK.EQ(F14,$F$14:$F$45,0),"")</f>
        <v>10</v>
      </c>
      <c r="M14" s="2">
        <v>1</v>
      </c>
      <c r="O14" s="5" t="str">
        <f t="shared" ref="O14:U14" si="1">IFERROR(INDEX(D$14:D$45,MATCH($M14,$K$14:$K$45,0)),"-")</f>
        <v>Moorfields</v>
      </c>
      <c r="P14" s="6">
        <f t="shared" si="1"/>
        <v>916</v>
      </c>
      <c r="Q14" s="7">
        <f t="shared" si="1"/>
        <v>0.85698689956331875</v>
      </c>
      <c r="R14" s="7">
        <f t="shared" si="1"/>
        <v>7.5327510917030563E-2</v>
      </c>
      <c r="S14" s="7">
        <f t="shared" si="1"/>
        <v>6.4410480349344976E-2</v>
      </c>
      <c r="T14" s="7">
        <f t="shared" si="1"/>
        <v>0</v>
      </c>
      <c r="U14" s="7">
        <f t="shared" si="1"/>
        <v>3.2751091703056767E-3</v>
      </c>
      <c r="V14" s="6">
        <f>Q14*$P14</f>
        <v>785</v>
      </c>
      <c r="W14" s="6">
        <f t="shared" ref="W14:W45" si="2">R14*$P14</f>
        <v>69</v>
      </c>
      <c r="X14" s="6">
        <f t="shared" ref="X14:X45" si="3">S14*$P14</f>
        <v>59</v>
      </c>
      <c r="Y14" s="6">
        <f t="shared" ref="Y14:Y45" si="4">T14*$P14</f>
        <v>0</v>
      </c>
      <c r="Z14" s="6">
        <f t="shared" ref="Z14:Z45" si="5">U14*$P14</f>
        <v>3</v>
      </c>
    </row>
    <row r="15" spans="2:26" x14ac:dyDescent="0.35">
      <c r="B15" s="5" t="s">
        <v>37</v>
      </c>
      <c r="C15" s="5" t="s">
        <v>38</v>
      </c>
      <c r="D15" s="5" t="s">
        <v>39</v>
      </c>
      <c r="E15" s="6">
        <f>SUMIFS(flu_location[aw25_vve],flu_location[trust_code],$B15)</f>
        <v>7386</v>
      </c>
      <c r="F15" s="7">
        <f>SUMIFS(flu_location[aw25_vve],flu_location[trust_code],$B15,flu_location[location],F$13)/$E15</f>
        <v>0.71080422420796097</v>
      </c>
      <c r="G15" s="7">
        <f>SUMIFS(flu_location[aw25_vve],flu_location[trust_code],$B15,flu_location[location],G$13)/$E15</f>
        <v>0.15827240725697264</v>
      </c>
      <c r="H15" s="7">
        <f>SUMIFS(flu_location[aw25_vve],flu_location[trust_code],$B15,flu_location[location],H$13)/$E15</f>
        <v>0.128215542919036</v>
      </c>
      <c r="I15" s="7">
        <f>SUMIFS(flu_location[aw25_vve],flu_location[trust_code],$B15,flu_location[location],I$13)/$E15</f>
        <v>1.3539128080151638E-4</v>
      </c>
      <c r="J15" s="7">
        <f>SUMIFS(flu_location[aw25_vve],flu_location[trust_code],$B15,flu_location[location],J$13)/$E15</f>
        <v>2.5724343352288115E-3</v>
      </c>
      <c r="K15" s="2">
        <f t="shared" ref="K15:K45" si="6">IFERROR(_xlfn.RANK.EQ(F15,$F$14:$F$45,0),"")</f>
        <v>21</v>
      </c>
      <c r="M15" s="2">
        <v>2</v>
      </c>
      <c r="O15" s="5" t="str">
        <f t="shared" ref="O15:O45" si="7">IFERROR(INDEX(D$14:D$45,MATCH($M15,$K$14:$K$45,0)),"-")</f>
        <v>GOSH</v>
      </c>
      <c r="P15" s="6">
        <f t="shared" ref="P15:P45" si="8">IFERROR(INDEX(E$14:E$45,MATCH($M15,$K$14:$K$45,0)),"-")</f>
        <v>2253</v>
      </c>
      <c r="Q15" s="7">
        <f t="shared" ref="Q15:Q45" si="9">IFERROR(INDEX(F$14:F$45,MATCH($M15,$K$14:$K$45,0)),"-")</f>
        <v>0.85175321793164671</v>
      </c>
      <c r="R15" s="7">
        <f t="shared" ref="R15:R45" si="10">IFERROR(INDEX(G$14:G$45,MATCH($M15,$K$14:$K$45,0)),"-")</f>
        <v>8.3000443852640923E-2</v>
      </c>
      <c r="S15" s="7">
        <f t="shared" ref="S15:S45" si="11">IFERROR(INDEX(H$14:H$45,MATCH($M15,$K$14:$K$45,0)),"-")</f>
        <v>6.4358632933865956E-2</v>
      </c>
      <c r="T15" s="7">
        <f t="shared" ref="T15:T45" si="12">IFERROR(INDEX(I$14:I$45,MATCH($M15,$K$14:$K$45,0)),"-")</f>
        <v>0</v>
      </c>
      <c r="U15" s="7">
        <f t="shared" ref="U15:U45" si="13">IFERROR(INDEX(J$14:J$45,MATCH($M15,$K$14:$K$45,0)),"-")</f>
        <v>8.8770528184642697E-4</v>
      </c>
      <c r="V15" s="6">
        <f t="shared" ref="V15:V45" si="14">Q15*$P15</f>
        <v>1919</v>
      </c>
      <c r="W15" s="6">
        <f t="shared" si="2"/>
        <v>187</v>
      </c>
      <c r="X15" s="6">
        <f t="shared" si="3"/>
        <v>145</v>
      </c>
      <c r="Y15" s="6">
        <f t="shared" si="4"/>
        <v>0</v>
      </c>
      <c r="Z15" s="6">
        <f t="shared" si="5"/>
        <v>2</v>
      </c>
    </row>
    <row r="16" spans="2:26" x14ac:dyDescent="0.35">
      <c r="B16" s="5" t="s">
        <v>25</v>
      </c>
      <c r="C16" s="5" t="s">
        <v>26</v>
      </c>
      <c r="D16" s="5" t="s">
        <v>43</v>
      </c>
      <c r="E16" s="6">
        <f>SUMIFS(flu_location[aw25_vve],flu_location[trust_code],$B16)</f>
        <v>2020</v>
      </c>
      <c r="F16" s="7">
        <f>SUMIFS(flu_location[aw25_vve],flu_location[trust_code],$B16,flu_location[location],F$13)/$E16</f>
        <v>0.4777227722772277</v>
      </c>
      <c r="G16" s="7">
        <f>SUMIFS(flu_location[aw25_vve],flu_location[trust_code],$B16,flu_location[location],G$13)/$E16</f>
        <v>0.19653465346534654</v>
      </c>
      <c r="H16" s="7">
        <f>SUMIFS(flu_location[aw25_vve],flu_location[trust_code],$B16,flu_location[location],H$13)/$E16</f>
        <v>0.32376237623762377</v>
      </c>
      <c r="I16" s="7">
        <f>SUMIFS(flu_location[aw25_vve],flu_location[trust_code],$B16,flu_location[location],I$13)/$E16</f>
        <v>0</v>
      </c>
      <c r="J16" s="7">
        <f>SUMIFS(flu_location[aw25_vve],flu_location[trust_code],$B16,flu_location[location],J$13)/$E16</f>
        <v>1.9801980198019802E-3</v>
      </c>
      <c r="K16" s="2">
        <f t="shared" si="6"/>
        <v>31</v>
      </c>
      <c r="M16" s="2">
        <v>3</v>
      </c>
      <c r="O16" s="5" t="str">
        <f t="shared" si="7"/>
        <v>Marsden</v>
      </c>
      <c r="P16" s="6">
        <f t="shared" si="8"/>
        <v>1585</v>
      </c>
      <c r="Q16" s="7">
        <f t="shared" si="9"/>
        <v>0.8485804416403786</v>
      </c>
      <c r="R16" s="7">
        <f t="shared" si="10"/>
        <v>8.5173501577287064E-2</v>
      </c>
      <c r="S16" s="7">
        <f t="shared" si="11"/>
        <v>6.4984227129337546E-2</v>
      </c>
      <c r="T16" s="7">
        <f t="shared" si="12"/>
        <v>6.3091482649842276E-4</v>
      </c>
      <c r="U16" s="7">
        <f t="shared" si="13"/>
        <v>6.3091482649842276E-4</v>
      </c>
      <c r="V16" s="6">
        <f t="shared" si="14"/>
        <v>1345</v>
      </c>
      <c r="W16" s="6">
        <f t="shared" si="2"/>
        <v>135</v>
      </c>
      <c r="X16" s="6">
        <f t="shared" si="3"/>
        <v>103.00000000000001</v>
      </c>
      <c r="Y16" s="6">
        <f t="shared" si="4"/>
        <v>1</v>
      </c>
      <c r="Z16" s="6">
        <f t="shared" si="5"/>
        <v>1</v>
      </c>
    </row>
    <row r="17" spans="2:26" x14ac:dyDescent="0.35">
      <c r="B17" s="5" t="s">
        <v>48</v>
      </c>
      <c r="C17" s="5" t="s">
        <v>49</v>
      </c>
      <c r="D17" s="5" t="s">
        <v>50</v>
      </c>
      <c r="E17" s="6">
        <f>SUMIFS(flu_location[aw25_vve],flu_location[trust_code],$B17)</f>
        <v>1549</v>
      </c>
      <c r="F17" s="7">
        <f>SUMIFS(flu_location[aw25_vve],flu_location[trust_code],$B17,flu_location[location],F$13)/$E17</f>
        <v>0.5887669464170433</v>
      </c>
      <c r="G17" s="7">
        <f>SUMIFS(flu_location[aw25_vve],flu_location[trust_code],$B17,flu_location[location],G$13)/$E17</f>
        <v>0.17301484828921884</v>
      </c>
      <c r="H17" s="7">
        <f>SUMIFS(flu_location[aw25_vve],flu_location[trust_code],$B17,flu_location[location],H$13)/$E17</f>
        <v>0.23628147191736604</v>
      </c>
      <c r="I17" s="7">
        <f>SUMIFS(flu_location[aw25_vve],flu_location[trust_code],$B17,flu_location[location],I$13)/$E17</f>
        <v>0</v>
      </c>
      <c r="J17" s="7">
        <f>SUMIFS(flu_location[aw25_vve],flu_location[trust_code],$B17,flu_location[location],J$13)/$E17</f>
        <v>1.9367333763718529E-3</v>
      </c>
      <c r="K17" s="2">
        <f t="shared" si="6"/>
        <v>25</v>
      </c>
      <c r="M17" s="2">
        <v>4</v>
      </c>
      <c r="O17" s="5" t="str">
        <f t="shared" si="7"/>
        <v>ChelWest</v>
      </c>
      <c r="P17" s="6">
        <f t="shared" si="8"/>
        <v>2187</v>
      </c>
      <c r="Q17" s="7">
        <f t="shared" si="9"/>
        <v>0.8463648834019204</v>
      </c>
      <c r="R17" s="7">
        <f t="shared" si="10"/>
        <v>9.0077732053040691E-2</v>
      </c>
      <c r="S17" s="7">
        <f t="shared" si="11"/>
        <v>5.8070416095107456E-2</v>
      </c>
      <c r="T17" s="7">
        <f t="shared" si="12"/>
        <v>0</v>
      </c>
      <c r="U17" s="7">
        <f t="shared" si="13"/>
        <v>5.4869684499314125E-3</v>
      </c>
      <c r="V17" s="6">
        <f t="shared" si="14"/>
        <v>1851</v>
      </c>
      <c r="W17" s="6">
        <f t="shared" si="2"/>
        <v>197</v>
      </c>
      <c r="X17" s="6">
        <f t="shared" si="3"/>
        <v>127</v>
      </c>
      <c r="Y17" s="6">
        <f t="shared" si="4"/>
        <v>0</v>
      </c>
      <c r="Z17" s="6">
        <f t="shared" si="5"/>
        <v>12</v>
      </c>
    </row>
    <row r="18" spans="2:26" x14ac:dyDescent="0.35">
      <c r="B18" s="5" t="s">
        <v>55</v>
      </c>
      <c r="C18" s="5" t="s">
        <v>56</v>
      </c>
      <c r="D18" s="5" t="s">
        <v>57</v>
      </c>
      <c r="E18" s="6">
        <f>SUMIFS(flu_location[aw25_vve],flu_location[trust_code],$B18)</f>
        <v>2187</v>
      </c>
      <c r="F18" s="7">
        <f>SUMIFS(flu_location[aw25_vve],flu_location[trust_code],$B18,flu_location[location],F$13)/$E18</f>
        <v>0.8463648834019204</v>
      </c>
      <c r="G18" s="7">
        <f>SUMIFS(flu_location[aw25_vve],flu_location[trust_code],$B18,flu_location[location],G$13)/$E18</f>
        <v>9.0077732053040691E-2</v>
      </c>
      <c r="H18" s="7">
        <f>SUMIFS(flu_location[aw25_vve],flu_location[trust_code],$B18,flu_location[location],H$13)/$E18</f>
        <v>5.8070416095107456E-2</v>
      </c>
      <c r="I18" s="7">
        <f>SUMIFS(flu_location[aw25_vve],flu_location[trust_code],$B18,flu_location[location],I$13)/$E18</f>
        <v>0</v>
      </c>
      <c r="J18" s="7">
        <f>SUMIFS(flu_location[aw25_vve],flu_location[trust_code],$B18,flu_location[location],J$13)/$E18</f>
        <v>5.4869684499314125E-3</v>
      </c>
      <c r="K18" s="2">
        <f t="shared" si="6"/>
        <v>4</v>
      </c>
      <c r="M18" s="2">
        <v>5</v>
      </c>
      <c r="O18" s="5" t="str">
        <f t="shared" si="7"/>
        <v>RNOH</v>
      </c>
      <c r="P18" s="6">
        <f t="shared" si="8"/>
        <v>427</v>
      </c>
      <c r="Q18" s="7">
        <f t="shared" si="9"/>
        <v>0.84074941451990637</v>
      </c>
      <c r="R18" s="7">
        <f t="shared" si="10"/>
        <v>9.6018735362997654E-2</v>
      </c>
      <c r="S18" s="7">
        <f t="shared" si="11"/>
        <v>6.0889929742388757E-2</v>
      </c>
      <c r="T18" s="7">
        <f t="shared" si="12"/>
        <v>0</v>
      </c>
      <c r="U18" s="7">
        <f t="shared" si="13"/>
        <v>2.34192037470726E-3</v>
      </c>
      <c r="V18" s="6">
        <f t="shared" si="14"/>
        <v>359</v>
      </c>
      <c r="W18" s="6">
        <f t="shared" si="2"/>
        <v>41</v>
      </c>
      <c r="X18" s="6">
        <f t="shared" si="3"/>
        <v>26</v>
      </c>
      <c r="Y18" s="6">
        <f t="shared" si="4"/>
        <v>0</v>
      </c>
      <c r="Z18" s="6">
        <f t="shared" si="5"/>
        <v>1</v>
      </c>
    </row>
    <row r="19" spans="2:26" x14ac:dyDescent="0.35">
      <c r="B19" s="5" t="s">
        <v>62</v>
      </c>
      <c r="C19" s="5" t="s">
        <v>63</v>
      </c>
      <c r="D19" s="5" t="s">
        <v>64</v>
      </c>
      <c r="E19" s="6">
        <f>SUMIFS(flu_location[aw25_vve],flu_location[trust_code],$B19)</f>
        <v>1353</v>
      </c>
      <c r="F19" s="7">
        <f>SUMIFS(flu_location[aw25_vve],flu_location[trust_code],$B19,flu_location[location],F$13)/$E19</f>
        <v>0.79231337767923138</v>
      </c>
      <c r="G19" s="7">
        <f>SUMIFS(flu_location[aw25_vve],flu_location[trust_code],$B19,flu_location[location],G$13)/$E19</f>
        <v>0.1271249076127125</v>
      </c>
      <c r="H19" s="7">
        <f>SUMIFS(flu_location[aw25_vve],flu_location[trust_code],$B19,flu_location[location],H$13)/$E19</f>
        <v>7.9822616407982258E-2</v>
      </c>
      <c r="I19" s="7">
        <f>SUMIFS(flu_location[aw25_vve],flu_location[trust_code],$B19,flu_location[location],I$13)/$E19</f>
        <v>0</v>
      </c>
      <c r="J19" s="7">
        <f>SUMIFS(flu_location[aw25_vve],flu_location[trust_code],$B19,flu_location[location],J$13)/$E19</f>
        <v>7.3909830007390983E-4</v>
      </c>
      <c r="K19" s="2">
        <f t="shared" si="6"/>
        <v>13</v>
      </c>
      <c r="M19" s="2">
        <v>6</v>
      </c>
      <c r="O19" s="5" t="str">
        <f t="shared" si="7"/>
        <v>St George's</v>
      </c>
      <c r="P19" s="6">
        <f t="shared" si="8"/>
        <v>2848</v>
      </c>
      <c r="Q19" s="7">
        <f t="shared" si="9"/>
        <v>0.8353230337078652</v>
      </c>
      <c r="R19" s="7">
        <f t="shared" si="10"/>
        <v>8.7780898876404501E-2</v>
      </c>
      <c r="S19" s="7">
        <f t="shared" si="11"/>
        <v>7.61938202247191E-2</v>
      </c>
      <c r="T19" s="7">
        <f t="shared" si="12"/>
        <v>3.5112359550561797E-4</v>
      </c>
      <c r="U19" s="7">
        <f t="shared" si="13"/>
        <v>3.5112359550561797E-4</v>
      </c>
      <c r="V19" s="6">
        <f t="shared" si="14"/>
        <v>2379</v>
      </c>
      <c r="W19" s="6">
        <f t="shared" si="2"/>
        <v>250.00000000000003</v>
      </c>
      <c r="X19" s="6">
        <f t="shared" si="3"/>
        <v>217</v>
      </c>
      <c r="Y19" s="6">
        <f t="shared" si="4"/>
        <v>1</v>
      </c>
      <c r="Z19" s="6">
        <f t="shared" si="5"/>
        <v>1</v>
      </c>
    </row>
    <row r="20" spans="2:26" x14ac:dyDescent="0.35">
      <c r="B20" s="5" t="s">
        <v>69</v>
      </c>
      <c r="C20" s="5" t="s">
        <v>70</v>
      </c>
      <c r="D20" s="5" t="s">
        <v>71</v>
      </c>
      <c r="E20" s="6">
        <f>SUMIFS(flu_location[aw25_vve],flu_location[trust_code],$B20)</f>
        <v>2300</v>
      </c>
      <c r="F20" s="7">
        <f>SUMIFS(flu_location[aw25_vve],flu_location[trust_code],$B20,flu_location[location],F$13)/$E20</f>
        <v>0.57869565217391306</v>
      </c>
      <c r="G20" s="7">
        <f>SUMIFS(flu_location[aw25_vve],flu_location[trust_code],$B20,flu_location[location],G$13)/$E20</f>
        <v>0.19260869565217392</v>
      </c>
      <c r="H20" s="7">
        <f>SUMIFS(flu_location[aw25_vve],flu_location[trust_code],$B20,flu_location[location],H$13)/$E20</f>
        <v>0.22695652173913045</v>
      </c>
      <c r="I20" s="7">
        <f>SUMIFS(flu_location[aw25_vve],flu_location[trust_code],$B20,flu_location[location],I$13)/$E20</f>
        <v>0</v>
      </c>
      <c r="J20" s="7">
        <f>SUMIFS(flu_location[aw25_vve],flu_location[trust_code],$B20,flu_location[location],J$13)/$E20</f>
        <v>1.7391304347826088E-3</v>
      </c>
      <c r="K20" s="2">
        <f t="shared" si="6"/>
        <v>27</v>
      </c>
      <c r="M20" s="2">
        <v>7</v>
      </c>
      <c r="O20" s="5" t="str">
        <f t="shared" si="7"/>
        <v>LNW</v>
      </c>
      <c r="P20" s="6">
        <f t="shared" si="8"/>
        <v>1794</v>
      </c>
      <c r="Q20" s="7">
        <f t="shared" si="9"/>
        <v>0.83389074693422516</v>
      </c>
      <c r="R20" s="7">
        <f t="shared" si="10"/>
        <v>9.7547380156075808E-2</v>
      </c>
      <c r="S20" s="7">
        <f t="shared" si="11"/>
        <v>6.6332218506131552E-2</v>
      </c>
      <c r="T20" s="7">
        <f t="shared" si="12"/>
        <v>0</v>
      </c>
      <c r="U20" s="7">
        <f t="shared" si="13"/>
        <v>2.229654403567447E-3</v>
      </c>
      <c r="V20" s="6">
        <f t="shared" si="14"/>
        <v>1496</v>
      </c>
      <c r="W20" s="6">
        <f t="shared" si="2"/>
        <v>175</v>
      </c>
      <c r="X20" s="6">
        <f t="shared" si="3"/>
        <v>119</v>
      </c>
      <c r="Y20" s="6">
        <f t="shared" si="4"/>
        <v>0</v>
      </c>
      <c r="Z20" s="6">
        <f t="shared" si="5"/>
        <v>4</v>
      </c>
    </row>
    <row r="21" spans="2:26" x14ac:dyDescent="0.35">
      <c r="B21" s="5" t="s">
        <v>76</v>
      </c>
      <c r="C21" s="5" t="s">
        <v>77</v>
      </c>
      <c r="D21" s="5" t="s">
        <v>78</v>
      </c>
      <c r="E21" s="6">
        <f>SUMIFS(flu_location[aw25_vve],flu_location[trust_code],$B21)</f>
        <v>2650</v>
      </c>
      <c r="F21" s="7">
        <f>SUMIFS(flu_location[aw25_vve],flu_location[trust_code],$B21,flu_location[location],F$13)/$E21</f>
        <v>0.770188679245283</v>
      </c>
      <c r="G21" s="7">
        <f>SUMIFS(flu_location[aw25_vve],flu_location[trust_code],$B21,flu_location[location],G$13)/$E21</f>
        <v>0.12415094339622641</v>
      </c>
      <c r="H21" s="7">
        <f>SUMIFS(flu_location[aw25_vve],flu_location[trust_code],$B21,flu_location[location],H$13)/$E21</f>
        <v>0.10452830188679245</v>
      </c>
      <c r="I21" s="7">
        <f>SUMIFS(flu_location[aw25_vve],flu_location[trust_code],$B21,flu_location[location],I$13)/$E21</f>
        <v>0</v>
      </c>
      <c r="J21" s="7">
        <f>SUMIFS(flu_location[aw25_vve],flu_location[trust_code],$B21,flu_location[location],J$13)/$E21</f>
        <v>1.1320754716981133E-3</v>
      </c>
      <c r="K21" s="2">
        <f t="shared" si="6"/>
        <v>15</v>
      </c>
      <c r="M21" s="2">
        <v>8</v>
      </c>
      <c r="O21" s="5" t="str">
        <f t="shared" si="7"/>
        <v>UCLH</v>
      </c>
      <c r="P21" s="6">
        <f t="shared" si="8"/>
        <v>3652</v>
      </c>
      <c r="Q21" s="7">
        <f t="shared" si="9"/>
        <v>0.83351588170865276</v>
      </c>
      <c r="R21" s="7">
        <f t="shared" si="10"/>
        <v>8.4611171960569553E-2</v>
      </c>
      <c r="S21" s="7">
        <f t="shared" si="11"/>
        <v>8.0777656078860893E-2</v>
      </c>
      <c r="T21" s="7">
        <f t="shared" si="12"/>
        <v>0</v>
      </c>
      <c r="U21" s="7">
        <f t="shared" si="13"/>
        <v>1.0952902519167579E-3</v>
      </c>
      <c r="V21" s="6">
        <f t="shared" si="14"/>
        <v>3044</v>
      </c>
      <c r="W21" s="6">
        <f t="shared" si="2"/>
        <v>309</v>
      </c>
      <c r="X21" s="6">
        <f t="shared" si="3"/>
        <v>295</v>
      </c>
      <c r="Y21" s="6">
        <f t="shared" si="4"/>
        <v>0</v>
      </c>
      <c r="Z21" s="6">
        <f t="shared" si="5"/>
        <v>4</v>
      </c>
    </row>
    <row r="22" spans="2:26" x14ac:dyDescent="0.35">
      <c r="B22" s="5" t="s">
        <v>83</v>
      </c>
      <c r="C22" s="5" t="s">
        <v>84</v>
      </c>
      <c r="D22" s="5" t="s">
        <v>85</v>
      </c>
      <c r="E22" s="6">
        <f>SUMIFS(flu_location[aw25_vve],flu_location[trust_code],$B22)</f>
        <v>2253</v>
      </c>
      <c r="F22" s="7">
        <f>SUMIFS(flu_location[aw25_vve],flu_location[trust_code],$B22,flu_location[location],F$13)/$E22</f>
        <v>0.85175321793164671</v>
      </c>
      <c r="G22" s="7">
        <f>SUMIFS(flu_location[aw25_vve],flu_location[trust_code],$B22,flu_location[location],G$13)/$E22</f>
        <v>8.3000443852640923E-2</v>
      </c>
      <c r="H22" s="7">
        <f>SUMIFS(flu_location[aw25_vve],flu_location[trust_code],$B22,flu_location[location],H$13)/$E22</f>
        <v>6.4358632933865956E-2</v>
      </c>
      <c r="I22" s="7">
        <f>SUMIFS(flu_location[aw25_vve],flu_location[trust_code],$B22,flu_location[location],I$13)/$E22</f>
        <v>0</v>
      </c>
      <c r="J22" s="7">
        <f>SUMIFS(flu_location[aw25_vve],flu_location[trust_code],$B22,flu_location[location],J$13)/$E22</f>
        <v>8.8770528184642697E-4</v>
      </c>
      <c r="K22" s="2">
        <f t="shared" si="6"/>
        <v>2</v>
      </c>
      <c r="M22" s="2">
        <v>9</v>
      </c>
      <c r="O22" s="5" t="str">
        <f t="shared" si="7"/>
        <v>King's</v>
      </c>
      <c r="P22" s="6">
        <f t="shared" si="8"/>
        <v>4458</v>
      </c>
      <c r="Q22" s="7">
        <f t="shared" si="9"/>
        <v>0.82974427994616418</v>
      </c>
      <c r="R22" s="7">
        <f t="shared" si="10"/>
        <v>9.3764019739793633E-2</v>
      </c>
      <c r="S22" s="7">
        <f t="shared" si="11"/>
        <v>7.5145805293853743E-2</v>
      </c>
      <c r="T22" s="7">
        <f t="shared" si="12"/>
        <v>2.2431583669807088E-4</v>
      </c>
      <c r="U22" s="7">
        <f t="shared" si="13"/>
        <v>1.1215791834903544E-3</v>
      </c>
      <c r="V22" s="6">
        <f t="shared" si="14"/>
        <v>3699</v>
      </c>
      <c r="W22" s="6">
        <f t="shared" si="2"/>
        <v>418</v>
      </c>
      <c r="X22" s="6">
        <f t="shared" si="3"/>
        <v>335</v>
      </c>
      <c r="Y22" s="6">
        <f t="shared" si="4"/>
        <v>1</v>
      </c>
      <c r="Z22" s="6">
        <f t="shared" si="5"/>
        <v>5</v>
      </c>
    </row>
    <row r="23" spans="2:26" x14ac:dyDescent="0.35">
      <c r="B23" s="5" t="s">
        <v>89</v>
      </c>
      <c r="C23" s="5" t="s">
        <v>90</v>
      </c>
      <c r="D23" s="5" t="s">
        <v>91</v>
      </c>
      <c r="E23" s="6">
        <f>SUMIFS(flu_location[aw25_vve],flu_location[trust_code],$B23)</f>
        <v>7528</v>
      </c>
      <c r="F23" s="7">
        <f>SUMIFS(flu_location[aw25_vve],flu_location[trust_code],$B23,flu_location[location],F$13)/$E23</f>
        <v>0.77763018065887357</v>
      </c>
      <c r="G23" s="7">
        <f>SUMIFS(flu_location[aw25_vve],flu_location[trust_code],$B23,flu_location[location],G$13)/$E23</f>
        <v>0.11251328374070138</v>
      </c>
      <c r="H23" s="7">
        <f>SUMIFS(flu_location[aw25_vve],flu_location[trust_code],$B23,flu_location[location],H$13)/$E23</f>
        <v>0.10666843783209352</v>
      </c>
      <c r="I23" s="7">
        <f>SUMIFS(flu_location[aw25_vve],flu_location[trust_code],$B23,flu_location[location],I$13)/$E23</f>
        <v>0</v>
      </c>
      <c r="J23" s="7">
        <f>SUMIFS(flu_location[aw25_vve],flu_location[trust_code],$B23,flu_location[location],J$13)/$E23</f>
        <v>3.188097768331562E-3</v>
      </c>
      <c r="K23" s="2">
        <f t="shared" si="6"/>
        <v>14</v>
      </c>
      <c r="M23" s="2">
        <v>10</v>
      </c>
      <c r="O23" s="5" t="str">
        <f t="shared" si="7"/>
        <v>BHR</v>
      </c>
      <c r="P23" s="6">
        <f t="shared" si="8"/>
        <v>2738</v>
      </c>
      <c r="Q23" s="7">
        <f t="shared" si="9"/>
        <v>0.81738495252008769</v>
      </c>
      <c r="R23" s="7">
        <f t="shared" si="10"/>
        <v>0.10920379839298758</v>
      </c>
      <c r="S23" s="7">
        <f t="shared" si="11"/>
        <v>7.0124178232286338E-2</v>
      </c>
      <c r="T23" s="7">
        <f t="shared" si="12"/>
        <v>0</v>
      </c>
      <c r="U23" s="7">
        <f t="shared" si="13"/>
        <v>3.2870708546384221E-3</v>
      </c>
      <c r="V23" s="6">
        <f t="shared" si="14"/>
        <v>2238</v>
      </c>
      <c r="W23" s="6">
        <f t="shared" si="2"/>
        <v>299</v>
      </c>
      <c r="X23" s="6">
        <f t="shared" si="3"/>
        <v>192</v>
      </c>
      <c r="Y23" s="6">
        <f t="shared" si="4"/>
        <v>0</v>
      </c>
      <c r="Z23" s="6">
        <f t="shared" si="5"/>
        <v>9</v>
      </c>
    </row>
    <row r="24" spans="2:26" x14ac:dyDescent="0.35">
      <c r="B24" s="5" t="s">
        <v>95</v>
      </c>
      <c r="C24" s="5" t="s">
        <v>96</v>
      </c>
      <c r="D24" s="5" t="s">
        <v>97</v>
      </c>
      <c r="E24" s="6">
        <f>SUMIFS(flu_location[aw25_vve],flu_location[trust_code],$B24)</f>
        <v>1697</v>
      </c>
      <c r="F24" s="7">
        <f>SUMIFS(flu_location[aw25_vve],flu_location[trust_code],$B24,flu_location[location],F$13)/$E24</f>
        <v>0.80848556275780792</v>
      </c>
      <c r="G24" s="7">
        <f>SUMIFS(flu_location[aw25_vve],flu_location[trust_code],$B24,flu_location[location],G$13)/$E24</f>
        <v>0.10076605774896877</v>
      </c>
      <c r="H24" s="7">
        <f>SUMIFS(flu_location[aw25_vve],flu_location[trust_code],$B24,flu_location[location],H$13)/$E24</f>
        <v>8.8980553918680025E-2</v>
      </c>
      <c r="I24" s="7">
        <f>SUMIFS(flu_location[aw25_vve],flu_location[trust_code],$B24,flu_location[location],I$13)/$E24</f>
        <v>0</v>
      </c>
      <c r="J24" s="7">
        <f>SUMIFS(flu_location[aw25_vve],flu_location[trust_code],$B24,flu_location[location],J$13)/$E24</f>
        <v>1.7678255745433118E-3</v>
      </c>
      <c r="K24" s="2">
        <f t="shared" si="6"/>
        <v>12</v>
      </c>
      <c r="M24" s="2">
        <v>11</v>
      </c>
      <c r="O24" s="5" t="str">
        <f t="shared" si="7"/>
        <v>LAS</v>
      </c>
      <c r="P24" s="6">
        <f t="shared" si="8"/>
        <v>1873</v>
      </c>
      <c r="Q24" s="7">
        <f t="shared" si="9"/>
        <v>0.80993059263214096</v>
      </c>
      <c r="R24" s="7">
        <f t="shared" si="10"/>
        <v>8.1153230112119598E-2</v>
      </c>
      <c r="S24" s="7">
        <f t="shared" si="11"/>
        <v>0.10731446876668446</v>
      </c>
      <c r="T24" s="7">
        <f t="shared" si="12"/>
        <v>5.339028296849973E-4</v>
      </c>
      <c r="U24" s="7">
        <f t="shared" si="13"/>
        <v>1.0678056593699946E-3</v>
      </c>
      <c r="V24" s="6">
        <f t="shared" si="14"/>
        <v>1517</v>
      </c>
      <c r="W24" s="6">
        <f t="shared" si="2"/>
        <v>152</v>
      </c>
      <c r="X24" s="6">
        <f t="shared" si="3"/>
        <v>201</v>
      </c>
      <c r="Y24" s="6">
        <f t="shared" si="4"/>
        <v>0.99999999999999989</v>
      </c>
      <c r="Z24" s="6">
        <f t="shared" si="5"/>
        <v>1.9999999999999998</v>
      </c>
    </row>
    <row r="25" spans="2:26" x14ac:dyDescent="0.35">
      <c r="B25" s="5" t="s">
        <v>101</v>
      </c>
      <c r="C25" s="5" t="s">
        <v>102</v>
      </c>
      <c r="D25" s="5" t="s">
        <v>103</v>
      </c>
      <c r="E25" s="6">
        <f>SUMIFS(flu_location[aw25_vve],flu_location[trust_code],$B25)</f>
        <v>4340</v>
      </c>
      <c r="F25" s="7">
        <f>SUMIFS(flu_location[aw25_vve],flu_location[trust_code],$B25,flu_location[location],F$13)/$E25</f>
        <v>0.73824884792626733</v>
      </c>
      <c r="G25" s="7">
        <f>SUMIFS(flu_location[aw25_vve],flu_location[trust_code],$B25,flu_location[location],G$13)/$E25</f>
        <v>0.12880184331797234</v>
      </c>
      <c r="H25" s="7">
        <f>SUMIFS(flu_location[aw25_vve],flu_location[trust_code],$B25,flu_location[location],H$13)/$E25</f>
        <v>0.12903225806451613</v>
      </c>
      <c r="I25" s="7">
        <f>SUMIFS(flu_location[aw25_vve],flu_location[trust_code],$B25,flu_location[location],I$13)/$E25</f>
        <v>0</v>
      </c>
      <c r="J25" s="7">
        <f>SUMIFS(flu_location[aw25_vve],flu_location[trust_code],$B25,flu_location[location],J$13)/$E25</f>
        <v>3.9170506912442398E-3</v>
      </c>
      <c r="K25" s="2">
        <f t="shared" si="6"/>
        <v>20</v>
      </c>
      <c r="M25" s="2">
        <v>12</v>
      </c>
      <c r="O25" s="5" t="str">
        <f t="shared" si="7"/>
        <v>Homerton</v>
      </c>
      <c r="P25" s="6">
        <f t="shared" si="8"/>
        <v>1697</v>
      </c>
      <c r="Q25" s="7">
        <f t="shared" si="9"/>
        <v>0.80848556275780792</v>
      </c>
      <c r="R25" s="7">
        <f t="shared" si="10"/>
        <v>0.10076605774896877</v>
      </c>
      <c r="S25" s="7">
        <f t="shared" si="11"/>
        <v>8.8980553918680025E-2</v>
      </c>
      <c r="T25" s="7">
        <f t="shared" si="12"/>
        <v>0</v>
      </c>
      <c r="U25" s="7">
        <f t="shared" si="13"/>
        <v>1.7678255745433118E-3</v>
      </c>
      <c r="V25" s="6">
        <f t="shared" si="14"/>
        <v>1372</v>
      </c>
      <c r="W25" s="6">
        <f t="shared" si="2"/>
        <v>171</v>
      </c>
      <c r="X25" s="6">
        <f t="shared" si="3"/>
        <v>151</v>
      </c>
      <c r="Y25" s="6">
        <f t="shared" si="4"/>
        <v>0</v>
      </c>
      <c r="Z25" s="6">
        <f t="shared" si="5"/>
        <v>3</v>
      </c>
    </row>
    <row r="26" spans="2:26" x14ac:dyDescent="0.35">
      <c r="B26" s="5" t="s">
        <v>107</v>
      </c>
      <c r="C26" s="5" t="s">
        <v>108</v>
      </c>
      <c r="D26" s="5" t="s">
        <v>109</v>
      </c>
      <c r="E26" s="6">
        <f>SUMIFS(flu_location[aw25_vve],flu_location[trust_code],$B26)</f>
        <v>4458</v>
      </c>
      <c r="F26" s="7">
        <f>SUMIFS(flu_location[aw25_vve],flu_location[trust_code],$B26,flu_location[location],F$13)/$E26</f>
        <v>0.82974427994616418</v>
      </c>
      <c r="G26" s="7">
        <f>SUMIFS(flu_location[aw25_vve],flu_location[trust_code],$B26,flu_location[location],G$13)/$E26</f>
        <v>9.3764019739793633E-2</v>
      </c>
      <c r="H26" s="7">
        <f>SUMIFS(flu_location[aw25_vve],flu_location[trust_code],$B26,flu_location[location],H$13)/$E26</f>
        <v>7.5145805293853743E-2</v>
      </c>
      <c r="I26" s="7">
        <f>SUMIFS(flu_location[aw25_vve],flu_location[trust_code],$B26,flu_location[location],I$13)/$E26</f>
        <v>2.2431583669807088E-4</v>
      </c>
      <c r="J26" s="7">
        <f>SUMIFS(flu_location[aw25_vve],flu_location[trust_code],$B26,flu_location[location],J$13)/$E26</f>
        <v>1.1215791834903544E-3</v>
      </c>
      <c r="K26" s="2">
        <f t="shared" si="6"/>
        <v>9</v>
      </c>
      <c r="M26" s="2">
        <v>13</v>
      </c>
      <c r="O26" s="5" t="str">
        <f t="shared" si="7"/>
        <v>Croydon</v>
      </c>
      <c r="P26" s="6">
        <f t="shared" si="8"/>
        <v>1353</v>
      </c>
      <c r="Q26" s="7">
        <f t="shared" si="9"/>
        <v>0.79231337767923138</v>
      </c>
      <c r="R26" s="7">
        <f t="shared" si="10"/>
        <v>0.1271249076127125</v>
      </c>
      <c r="S26" s="7">
        <f t="shared" si="11"/>
        <v>7.9822616407982258E-2</v>
      </c>
      <c r="T26" s="7">
        <f t="shared" si="12"/>
        <v>0</v>
      </c>
      <c r="U26" s="7">
        <f t="shared" si="13"/>
        <v>7.3909830007390983E-4</v>
      </c>
      <c r="V26" s="6">
        <f t="shared" si="14"/>
        <v>1072</v>
      </c>
      <c r="W26" s="6">
        <f t="shared" si="2"/>
        <v>172</v>
      </c>
      <c r="X26" s="6">
        <f t="shared" si="3"/>
        <v>108</v>
      </c>
      <c r="Y26" s="6">
        <f t="shared" si="4"/>
        <v>0</v>
      </c>
      <c r="Z26" s="6">
        <f t="shared" si="5"/>
        <v>1</v>
      </c>
    </row>
    <row r="27" spans="2:26" x14ac:dyDescent="0.35">
      <c r="B27" s="5" t="s">
        <v>113</v>
      </c>
      <c r="C27" s="5" t="s">
        <v>114</v>
      </c>
      <c r="D27" s="5" t="s">
        <v>115</v>
      </c>
      <c r="E27" s="6">
        <f>SUMIFS(flu_location[aw25_vve],flu_location[trust_code],$B27)</f>
        <v>1767</v>
      </c>
      <c r="F27" s="7">
        <f>SUMIFS(flu_location[aw25_vve],flu_location[trust_code],$B27,flu_location[location],F$13)/$E27</f>
        <v>0.75608375778155068</v>
      </c>
      <c r="G27" s="7">
        <f>SUMIFS(flu_location[aw25_vve],flu_location[trust_code],$B27,flu_location[location],G$13)/$E27</f>
        <v>0.11318619128466327</v>
      </c>
      <c r="H27" s="7">
        <f>SUMIFS(flu_location[aw25_vve],flu_location[trust_code],$B27,flu_location[location],H$13)/$E27</f>
        <v>0.12733446519524619</v>
      </c>
      <c r="I27" s="7">
        <f>SUMIFS(flu_location[aw25_vve],flu_location[trust_code],$B27,flu_location[location],I$13)/$E27</f>
        <v>2.8296547821165816E-3</v>
      </c>
      <c r="J27" s="7">
        <f>SUMIFS(flu_location[aw25_vve],flu_location[trust_code],$B27,flu_location[location],J$13)/$E27</f>
        <v>5.6593095642331638E-4</v>
      </c>
      <c r="K27" s="2">
        <f t="shared" si="6"/>
        <v>17</v>
      </c>
      <c r="M27" s="2">
        <v>14</v>
      </c>
      <c r="O27" s="5" t="str">
        <f t="shared" si="7"/>
        <v>GSTT</v>
      </c>
      <c r="P27" s="6">
        <f t="shared" si="8"/>
        <v>7528</v>
      </c>
      <c r="Q27" s="7">
        <f t="shared" si="9"/>
        <v>0.77763018065887357</v>
      </c>
      <c r="R27" s="7">
        <f t="shared" si="10"/>
        <v>0.11251328374070138</v>
      </c>
      <c r="S27" s="7">
        <f t="shared" si="11"/>
        <v>0.10666843783209352</v>
      </c>
      <c r="T27" s="7">
        <f t="shared" si="12"/>
        <v>0</v>
      </c>
      <c r="U27" s="7">
        <f t="shared" si="13"/>
        <v>3.188097768331562E-3</v>
      </c>
      <c r="V27" s="6">
        <f t="shared" si="14"/>
        <v>5854</v>
      </c>
      <c r="W27" s="6">
        <f t="shared" si="2"/>
        <v>847</v>
      </c>
      <c r="X27" s="6">
        <f t="shared" si="3"/>
        <v>803</v>
      </c>
      <c r="Y27" s="6">
        <f t="shared" si="4"/>
        <v>0</v>
      </c>
      <c r="Z27" s="6">
        <f t="shared" si="5"/>
        <v>24</v>
      </c>
    </row>
    <row r="28" spans="2:26" x14ac:dyDescent="0.35">
      <c r="B28" s="5" t="s">
        <v>118</v>
      </c>
      <c r="C28" s="5" t="s">
        <v>119</v>
      </c>
      <c r="D28" s="5" t="s">
        <v>120</v>
      </c>
      <c r="E28" s="6">
        <f>SUMIFS(flu_location[aw25_vve],flu_location[trust_code],$B28)</f>
        <v>2338</v>
      </c>
      <c r="F28" s="7">
        <f>SUMIFS(flu_location[aw25_vve],flu_location[trust_code],$B28,flu_location[location],F$13)/$E28</f>
        <v>0.7459366980325064</v>
      </c>
      <c r="G28" s="7">
        <f>SUMIFS(flu_location[aw25_vve],flu_location[trust_code],$B28,flu_location[location],G$13)/$E28</f>
        <v>0.12917023096663816</v>
      </c>
      <c r="H28" s="7">
        <f>SUMIFS(flu_location[aw25_vve],flu_location[trust_code],$B28,flu_location[location],H$13)/$E28</f>
        <v>0.12403763900769889</v>
      </c>
      <c r="I28" s="7">
        <f>SUMIFS(flu_location[aw25_vve],flu_location[trust_code],$B28,flu_location[location],I$13)/$E28</f>
        <v>0</v>
      </c>
      <c r="J28" s="7">
        <f>SUMIFS(flu_location[aw25_vve],flu_location[trust_code],$B28,flu_location[location],J$13)/$E28</f>
        <v>8.5543199315654401E-4</v>
      </c>
      <c r="K28" s="2">
        <f t="shared" si="6"/>
        <v>19</v>
      </c>
      <c r="M28" s="2">
        <v>15</v>
      </c>
      <c r="O28" s="5" t="str">
        <f t="shared" si="7"/>
        <v>Epsom</v>
      </c>
      <c r="P28" s="6">
        <f t="shared" si="8"/>
        <v>2650</v>
      </c>
      <c r="Q28" s="7">
        <f t="shared" si="9"/>
        <v>0.770188679245283</v>
      </c>
      <c r="R28" s="7">
        <f t="shared" si="10"/>
        <v>0.12415094339622641</v>
      </c>
      <c r="S28" s="7">
        <f t="shared" si="11"/>
        <v>0.10452830188679245</v>
      </c>
      <c r="T28" s="7">
        <f t="shared" si="12"/>
        <v>0</v>
      </c>
      <c r="U28" s="7">
        <f t="shared" si="13"/>
        <v>1.1320754716981133E-3</v>
      </c>
      <c r="V28" s="6">
        <f t="shared" si="14"/>
        <v>2041</v>
      </c>
      <c r="W28" s="6">
        <f t="shared" si="2"/>
        <v>329</v>
      </c>
      <c r="X28" s="6">
        <f t="shared" si="3"/>
        <v>277</v>
      </c>
      <c r="Y28" s="6">
        <f t="shared" si="4"/>
        <v>0</v>
      </c>
      <c r="Z28" s="6">
        <f t="shared" si="5"/>
        <v>3</v>
      </c>
    </row>
    <row r="29" spans="2:26" x14ac:dyDescent="0.35">
      <c r="B29" s="5" t="s">
        <v>124</v>
      </c>
      <c r="C29" s="5" t="s">
        <v>125</v>
      </c>
      <c r="D29" s="5" t="s">
        <v>126</v>
      </c>
      <c r="E29" s="6">
        <f>SUMIFS(flu_location[aw25_vve],flu_location[trust_code],$B29)</f>
        <v>1873</v>
      </c>
      <c r="F29" s="7">
        <f>SUMIFS(flu_location[aw25_vve],flu_location[trust_code],$B29,flu_location[location],F$13)/$E29</f>
        <v>0.80993059263214096</v>
      </c>
      <c r="G29" s="7">
        <f>SUMIFS(flu_location[aw25_vve],flu_location[trust_code],$B29,flu_location[location],G$13)/$E29</f>
        <v>8.1153230112119598E-2</v>
      </c>
      <c r="H29" s="7">
        <f>SUMIFS(flu_location[aw25_vve],flu_location[trust_code],$B29,flu_location[location],H$13)/$E29</f>
        <v>0.10731446876668446</v>
      </c>
      <c r="I29" s="7">
        <f>SUMIFS(flu_location[aw25_vve],flu_location[trust_code],$B29,flu_location[location],I$13)/$E29</f>
        <v>5.339028296849973E-4</v>
      </c>
      <c r="J29" s="7">
        <f>SUMIFS(flu_location[aw25_vve],flu_location[trust_code],$B29,flu_location[location],J$13)/$E29</f>
        <v>1.0678056593699946E-3</v>
      </c>
      <c r="K29" s="2">
        <f t="shared" si="6"/>
        <v>11</v>
      </c>
      <c r="M29" s="2">
        <v>16</v>
      </c>
      <c r="O29" s="5" t="str">
        <f t="shared" si="7"/>
        <v>Royal Free</v>
      </c>
      <c r="P29" s="6">
        <f t="shared" si="8"/>
        <v>6988</v>
      </c>
      <c r="Q29" s="7">
        <f t="shared" si="9"/>
        <v>0.76545506582713219</v>
      </c>
      <c r="R29" s="7">
        <f t="shared" si="10"/>
        <v>0.13423010875787064</v>
      </c>
      <c r="S29" s="7">
        <f t="shared" si="11"/>
        <v>9.8168288494562106E-2</v>
      </c>
      <c r="T29" s="7">
        <f t="shared" si="12"/>
        <v>1.4310246136233542E-4</v>
      </c>
      <c r="U29" s="7">
        <f t="shared" si="13"/>
        <v>2.0034344590726962E-3</v>
      </c>
      <c r="V29" s="6">
        <f t="shared" si="14"/>
        <v>5349</v>
      </c>
      <c r="W29" s="6">
        <f t="shared" si="2"/>
        <v>938</v>
      </c>
      <c r="X29" s="6">
        <f t="shared" si="3"/>
        <v>686</v>
      </c>
      <c r="Y29" s="6">
        <f t="shared" si="4"/>
        <v>0.99999999999999989</v>
      </c>
      <c r="Z29" s="6">
        <f t="shared" si="5"/>
        <v>14.000000000000002</v>
      </c>
    </row>
    <row r="30" spans="2:26" x14ac:dyDescent="0.35">
      <c r="B30" s="5" t="s">
        <v>130</v>
      </c>
      <c r="C30" s="5" t="s">
        <v>131</v>
      </c>
      <c r="D30" s="5" t="s">
        <v>132</v>
      </c>
      <c r="E30" s="6">
        <f>SUMIFS(flu_location[aw25_vve],flu_location[trust_code],$B30)</f>
        <v>1794</v>
      </c>
      <c r="F30" s="7">
        <f>SUMIFS(flu_location[aw25_vve],flu_location[trust_code],$B30,flu_location[location],F$13)/$E30</f>
        <v>0.83389074693422516</v>
      </c>
      <c r="G30" s="7">
        <f>SUMIFS(flu_location[aw25_vve],flu_location[trust_code],$B30,flu_location[location],G$13)/$E30</f>
        <v>9.7547380156075808E-2</v>
      </c>
      <c r="H30" s="7">
        <f>SUMIFS(flu_location[aw25_vve],flu_location[trust_code],$B30,flu_location[location],H$13)/$E30</f>
        <v>6.6332218506131552E-2</v>
      </c>
      <c r="I30" s="7">
        <f>SUMIFS(flu_location[aw25_vve],flu_location[trust_code],$B30,flu_location[location],I$13)/$E30</f>
        <v>0</v>
      </c>
      <c r="J30" s="7">
        <f>SUMIFS(flu_location[aw25_vve],flu_location[trust_code],$B30,flu_location[location],J$13)/$E30</f>
        <v>2.229654403567447E-3</v>
      </c>
      <c r="K30" s="2">
        <f t="shared" si="6"/>
        <v>7</v>
      </c>
      <c r="M30" s="2">
        <v>17</v>
      </c>
      <c r="O30" s="5" t="str">
        <f t="shared" si="7"/>
        <v>K&amp;R FT</v>
      </c>
      <c r="P30" s="6">
        <f t="shared" si="8"/>
        <v>1767</v>
      </c>
      <c r="Q30" s="7">
        <f t="shared" si="9"/>
        <v>0.75608375778155068</v>
      </c>
      <c r="R30" s="7">
        <f t="shared" si="10"/>
        <v>0.11318619128466327</v>
      </c>
      <c r="S30" s="7">
        <f t="shared" si="11"/>
        <v>0.12733446519524619</v>
      </c>
      <c r="T30" s="7">
        <f t="shared" si="12"/>
        <v>2.8296547821165816E-3</v>
      </c>
      <c r="U30" s="7">
        <f t="shared" si="13"/>
        <v>5.6593095642331638E-4</v>
      </c>
      <c r="V30" s="6">
        <f t="shared" si="14"/>
        <v>1336</v>
      </c>
      <c r="W30" s="6">
        <f t="shared" si="2"/>
        <v>200</v>
      </c>
      <c r="X30" s="6">
        <f t="shared" si="3"/>
        <v>225.00000000000003</v>
      </c>
      <c r="Y30" s="6">
        <f t="shared" si="4"/>
        <v>5</v>
      </c>
      <c r="Z30" s="6">
        <f t="shared" si="5"/>
        <v>1</v>
      </c>
    </row>
    <row r="31" spans="2:26" x14ac:dyDescent="0.35">
      <c r="B31" s="5" t="s">
        <v>136</v>
      </c>
      <c r="C31" s="5" t="s">
        <v>137</v>
      </c>
      <c r="D31" s="5" t="s">
        <v>138</v>
      </c>
      <c r="E31" s="6">
        <f>SUMIFS(flu_location[aw25_vve],flu_location[trust_code],$B31)</f>
        <v>916</v>
      </c>
      <c r="F31" s="7">
        <f>SUMIFS(flu_location[aw25_vve],flu_location[trust_code],$B31,flu_location[location],F$13)/$E31</f>
        <v>0.85698689956331875</v>
      </c>
      <c r="G31" s="7">
        <f>SUMIFS(flu_location[aw25_vve],flu_location[trust_code],$B31,flu_location[location],G$13)/$E31</f>
        <v>7.5327510917030563E-2</v>
      </c>
      <c r="H31" s="7">
        <f>SUMIFS(flu_location[aw25_vve],flu_location[trust_code],$B31,flu_location[location],H$13)/$E31</f>
        <v>6.4410480349344976E-2</v>
      </c>
      <c r="I31" s="7">
        <f>SUMIFS(flu_location[aw25_vve],flu_location[trust_code],$B31,flu_location[location],I$13)/$E31</f>
        <v>0</v>
      </c>
      <c r="J31" s="7">
        <f>SUMIFS(flu_location[aw25_vve],flu_location[trust_code],$B31,flu_location[location],J$13)/$E31</f>
        <v>3.2751091703056767E-3</v>
      </c>
      <c r="K31" s="2">
        <f t="shared" si="6"/>
        <v>1</v>
      </c>
      <c r="M31" s="2">
        <v>18</v>
      </c>
      <c r="O31" s="5" t="str">
        <f t="shared" si="7"/>
        <v>Whittington</v>
      </c>
      <c r="P31" s="6">
        <f t="shared" si="8"/>
        <v>1185</v>
      </c>
      <c r="Q31" s="7">
        <f t="shared" si="9"/>
        <v>0.75443037974683547</v>
      </c>
      <c r="R31" s="7">
        <f t="shared" si="10"/>
        <v>0.11392405063291139</v>
      </c>
      <c r="S31" s="7">
        <f t="shared" si="11"/>
        <v>0.12911392405063291</v>
      </c>
      <c r="T31" s="7">
        <f t="shared" si="12"/>
        <v>0</v>
      </c>
      <c r="U31" s="7">
        <f t="shared" si="13"/>
        <v>2.5316455696202532E-3</v>
      </c>
      <c r="V31" s="6">
        <f t="shared" si="14"/>
        <v>894</v>
      </c>
      <c r="W31" s="6">
        <f t="shared" si="2"/>
        <v>135</v>
      </c>
      <c r="X31" s="6">
        <f t="shared" si="3"/>
        <v>153</v>
      </c>
      <c r="Y31" s="6">
        <f t="shared" si="4"/>
        <v>0</v>
      </c>
      <c r="Z31" s="6">
        <f t="shared" si="5"/>
        <v>3</v>
      </c>
    </row>
    <row r="32" spans="2:26" x14ac:dyDescent="0.35">
      <c r="B32" s="5" t="s">
        <v>142</v>
      </c>
      <c r="C32" s="5" t="s">
        <v>143</v>
      </c>
      <c r="D32" s="5" t="s">
        <v>144</v>
      </c>
      <c r="E32" s="6">
        <f>SUMIFS(flu_location[aw25_vve],flu_location[trust_code],$B32)</f>
        <v>1999</v>
      </c>
      <c r="F32" s="7">
        <f>SUMIFS(flu_location[aw25_vve],flu_location[trust_code],$B32,flu_location[location],F$13)/$E32</f>
        <v>0.48074037018509252</v>
      </c>
      <c r="G32" s="7">
        <f>SUMIFS(flu_location[aw25_vve],flu_location[trust_code],$B32,flu_location[location],G$13)/$E32</f>
        <v>0.23811905952976489</v>
      </c>
      <c r="H32" s="7">
        <f>SUMIFS(flu_location[aw25_vve],flu_location[trust_code],$B32,flu_location[location],H$13)/$E32</f>
        <v>0.28014007003501751</v>
      </c>
      <c r="I32" s="7">
        <f>SUMIFS(flu_location[aw25_vve],flu_location[trust_code],$B32,flu_location[location],I$13)/$E32</f>
        <v>0</v>
      </c>
      <c r="J32" s="7">
        <f>SUMIFS(flu_location[aw25_vve],flu_location[trust_code],$B32,flu_location[location],J$13)/$E32</f>
        <v>1.0005002501250625E-3</v>
      </c>
      <c r="K32" s="2">
        <f t="shared" si="6"/>
        <v>30</v>
      </c>
      <c r="M32" s="2">
        <v>19</v>
      </c>
      <c r="O32" s="5" t="str">
        <f t="shared" si="7"/>
        <v>L&amp;G</v>
      </c>
      <c r="P32" s="6">
        <f t="shared" si="8"/>
        <v>2338</v>
      </c>
      <c r="Q32" s="7">
        <f t="shared" si="9"/>
        <v>0.7459366980325064</v>
      </c>
      <c r="R32" s="7">
        <f t="shared" si="10"/>
        <v>0.12917023096663816</v>
      </c>
      <c r="S32" s="7">
        <f t="shared" si="11"/>
        <v>0.12403763900769889</v>
      </c>
      <c r="T32" s="7">
        <f t="shared" si="12"/>
        <v>0</v>
      </c>
      <c r="U32" s="7">
        <f t="shared" si="13"/>
        <v>8.5543199315654401E-4</v>
      </c>
      <c r="V32" s="6">
        <f t="shared" si="14"/>
        <v>1744</v>
      </c>
      <c r="W32" s="6">
        <f t="shared" si="2"/>
        <v>302</v>
      </c>
      <c r="X32" s="6">
        <f t="shared" si="3"/>
        <v>290</v>
      </c>
      <c r="Y32" s="6">
        <f t="shared" si="4"/>
        <v>0</v>
      </c>
      <c r="Z32" s="6">
        <f t="shared" si="5"/>
        <v>2</v>
      </c>
    </row>
    <row r="33" spans="2:26" x14ac:dyDescent="0.35">
      <c r="B33" s="5" t="s">
        <v>147</v>
      </c>
      <c r="C33" s="5" t="s">
        <v>148</v>
      </c>
      <c r="D33" s="5" t="s">
        <v>149</v>
      </c>
      <c r="E33" s="6">
        <f>SUMIFS(flu_location[aw25_vve],flu_location[trust_code],$B33)</f>
        <v>1655</v>
      </c>
      <c r="F33" s="7">
        <f>SUMIFS(flu_location[aw25_vve],flu_location[trust_code],$B33,flu_location[location],F$13)/$E33</f>
        <v>0.52326283987915412</v>
      </c>
      <c r="G33" s="7">
        <f>SUMIFS(flu_location[aw25_vve],flu_location[trust_code],$B33,flu_location[location],G$13)/$E33</f>
        <v>0.2217522658610272</v>
      </c>
      <c r="H33" s="7">
        <f>SUMIFS(flu_location[aw25_vve],flu_location[trust_code],$B33,flu_location[location],H$13)/$E33</f>
        <v>0.2501510574018127</v>
      </c>
      <c r="I33" s="7">
        <f>SUMIFS(flu_location[aw25_vve],flu_location[trust_code],$B33,flu_location[location],I$13)/$E33</f>
        <v>0</v>
      </c>
      <c r="J33" s="7">
        <f>SUMIFS(flu_location[aw25_vve],flu_location[trust_code],$B33,flu_location[location],J$13)/$E33</f>
        <v>4.8338368580060423E-3</v>
      </c>
      <c r="K33" s="2">
        <f t="shared" si="6"/>
        <v>29</v>
      </c>
      <c r="M33" s="2">
        <v>20</v>
      </c>
      <c r="O33" s="5" t="str">
        <f t="shared" si="7"/>
        <v>Imperial</v>
      </c>
      <c r="P33" s="6">
        <f t="shared" si="8"/>
        <v>4340</v>
      </c>
      <c r="Q33" s="7">
        <f t="shared" si="9"/>
        <v>0.73824884792626733</v>
      </c>
      <c r="R33" s="7">
        <f t="shared" si="10"/>
        <v>0.12880184331797234</v>
      </c>
      <c r="S33" s="7">
        <f t="shared" si="11"/>
        <v>0.12903225806451613</v>
      </c>
      <c r="T33" s="7">
        <f t="shared" si="12"/>
        <v>0</v>
      </c>
      <c r="U33" s="7">
        <f t="shared" si="13"/>
        <v>3.9170506912442398E-3</v>
      </c>
      <c r="V33" s="6">
        <f t="shared" si="14"/>
        <v>3204</v>
      </c>
      <c r="W33" s="6">
        <f t="shared" si="2"/>
        <v>559</v>
      </c>
      <c r="X33" s="6">
        <f t="shared" si="3"/>
        <v>560</v>
      </c>
      <c r="Y33" s="6">
        <f t="shared" si="4"/>
        <v>0</v>
      </c>
      <c r="Z33" s="6">
        <f t="shared" si="5"/>
        <v>17</v>
      </c>
    </row>
    <row r="34" spans="2:26" x14ac:dyDescent="0.35">
      <c r="B34" s="5" t="s">
        <v>152</v>
      </c>
      <c r="C34" s="5" t="s">
        <v>153</v>
      </c>
      <c r="D34" s="5" t="s">
        <v>154</v>
      </c>
      <c r="E34" s="6">
        <f>SUMIFS(flu_location[aw25_vve],flu_location[trust_code],$B34)</f>
        <v>1170</v>
      </c>
      <c r="F34" s="7">
        <f>SUMIFS(flu_location[aw25_vve],flu_location[trust_code],$B34,flu_location[location],F$13)/$E34</f>
        <v>0.68717948717948718</v>
      </c>
      <c r="G34" s="7">
        <f>SUMIFS(flu_location[aw25_vve],flu_location[trust_code],$B34,flu_location[location],G$13)/$E34</f>
        <v>0.18205128205128204</v>
      </c>
      <c r="H34" s="7">
        <f>SUMIFS(flu_location[aw25_vve],flu_location[trust_code],$B34,flu_location[location],H$13)/$E34</f>
        <v>0.12991452991452992</v>
      </c>
      <c r="I34" s="7">
        <f>SUMIFS(flu_location[aw25_vve],flu_location[trust_code],$B34,flu_location[location],I$13)/$E34</f>
        <v>0</v>
      </c>
      <c r="J34" s="7">
        <f>SUMIFS(flu_location[aw25_vve],flu_location[trust_code],$B34,flu_location[location],J$13)/$E34</f>
        <v>8.547008547008547E-4</v>
      </c>
      <c r="K34" s="2">
        <f t="shared" si="6"/>
        <v>23</v>
      </c>
      <c r="M34" s="2">
        <v>21</v>
      </c>
      <c r="O34" s="5" t="str">
        <f t="shared" si="7"/>
        <v>Barts</v>
      </c>
      <c r="P34" s="6">
        <f t="shared" si="8"/>
        <v>7386</v>
      </c>
      <c r="Q34" s="7">
        <f t="shared" si="9"/>
        <v>0.71080422420796097</v>
      </c>
      <c r="R34" s="7">
        <f t="shared" si="10"/>
        <v>0.15827240725697264</v>
      </c>
      <c r="S34" s="7">
        <f t="shared" si="11"/>
        <v>0.128215542919036</v>
      </c>
      <c r="T34" s="7">
        <f t="shared" si="12"/>
        <v>1.3539128080151638E-4</v>
      </c>
      <c r="U34" s="7">
        <f t="shared" si="13"/>
        <v>2.5724343352288115E-3</v>
      </c>
      <c r="V34" s="6">
        <f t="shared" si="14"/>
        <v>5250</v>
      </c>
      <c r="W34" s="6">
        <f t="shared" si="2"/>
        <v>1169</v>
      </c>
      <c r="X34" s="6">
        <f t="shared" si="3"/>
        <v>946.99999999999989</v>
      </c>
      <c r="Y34" s="6">
        <f t="shared" si="4"/>
        <v>1</v>
      </c>
      <c r="Z34" s="6">
        <f t="shared" si="5"/>
        <v>19</v>
      </c>
    </row>
    <row r="35" spans="2:26" x14ac:dyDescent="0.35">
      <c r="B35" s="5" t="s">
        <v>157</v>
      </c>
      <c r="C35" s="5" t="s">
        <v>158</v>
      </c>
      <c r="D35" s="5" t="s">
        <v>159</v>
      </c>
      <c r="E35" s="6">
        <f>SUMIFS(flu_location[aw25_vve],flu_location[trust_code],$B35)</f>
        <v>6988</v>
      </c>
      <c r="F35" s="7">
        <f>SUMIFS(flu_location[aw25_vve],flu_location[trust_code],$B35,flu_location[location],F$13)/$E35</f>
        <v>0.76545506582713219</v>
      </c>
      <c r="G35" s="7">
        <f>SUMIFS(flu_location[aw25_vve],flu_location[trust_code],$B35,flu_location[location],G$13)/$E35</f>
        <v>0.13423010875787064</v>
      </c>
      <c r="H35" s="7">
        <f>SUMIFS(flu_location[aw25_vve],flu_location[trust_code],$B35,flu_location[location],H$13)/$E35</f>
        <v>9.8168288494562106E-2</v>
      </c>
      <c r="I35" s="7">
        <f>SUMIFS(flu_location[aw25_vve],flu_location[trust_code],$B35,flu_location[location],I$13)/$E35</f>
        <v>1.4310246136233542E-4</v>
      </c>
      <c r="J35" s="7">
        <f>SUMIFS(flu_location[aw25_vve],flu_location[trust_code],$B35,flu_location[location],J$13)/$E35</f>
        <v>2.0034344590726962E-3</v>
      </c>
      <c r="K35" s="2">
        <f t="shared" si="6"/>
        <v>16</v>
      </c>
      <c r="M35" s="2">
        <v>22</v>
      </c>
      <c r="O35" s="5" t="str">
        <f t="shared" si="7"/>
        <v>Hillingdon</v>
      </c>
      <c r="P35" s="6">
        <f t="shared" si="8"/>
        <v>1046</v>
      </c>
      <c r="Q35" s="7">
        <f t="shared" si="9"/>
        <v>0.70363288718929251</v>
      </c>
      <c r="R35" s="7">
        <f t="shared" si="10"/>
        <v>0.1921606118546845</v>
      </c>
      <c r="S35" s="7">
        <f t="shared" si="11"/>
        <v>0.1022944550669216</v>
      </c>
      <c r="T35" s="7">
        <f t="shared" si="12"/>
        <v>0</v>
      </c>
      <c r="U35" s="7">
        <f t="shared" si="13"/>
        <v>1.9120458891013384E-3</v>
      </c>
      <c r="V35" s="6">
        <f t="shared" si="14"/>
        <v>736</v>
      </c>
      <c r="W35" s="6">
        <f t="shared" si="2"/>
        <v>200.99999999999997</v>
      </c>
      <c r="X35" s="6">
        <f t="shared" si="3"/>
        <v>107</v>
      </c>
      <c r="Y35" s="6">
        <f t="shared" si="4"/>
        <v>0</v>
      </c>
      <c r="Z35" s="6">
        <f t="shared" si="5"/>
        <v>2</v>
      </c>
    </row>
    <row r="36" spans="2:26" x14ac:dyDescent="0.35">
      <c r="B36" s="5" t="s">
        <v>161</v>
      </c>
      <c r="C36" s="5" t="s">
        <v>162</v>
      </c>
      <c r="D36" s="5" t="s">
        <v>163</v>
      </c>
      <c r="E36" s="6">
        <f>SUMIFS(flu_location[aw25_vve],flu_location[trust_code],$B36)</f>
        <v>427</v>
      </c>
      <c r="F36" s="7">
        <f>SUMIFS(flu_location[aw25_vve],flu_location[trust_code],$B36,flu_location[location],F$13)/$E36</f>
        <v>0.84074941451990637</v>
      </c>
      <c r="G36" s="7">
        <f>SUMIFS(flu_location[aw25_vve],flu_location[trust_code],$B36,flu_location[location],G$13)/$E36</f>
        <v>9.6018735362997654E-2</v>
      </c>
      <c r="H36" s="7">
        <f>SUMIFS(flu_location[aw25_vve],flu_location[trust_code],$B36,flu_location[location],H$13)/$E36</f>
        <v>6.0889929742388757E-2</v>
      </c>
      <c r="I36" s="7">
        <f>SUMIFS(flu_location[aw25_vve],flu_location[trust_code],$B36,flu_location[location],I$13)/$E36</f>
        <v>0</v>
      </c>
      <c r="J36" s="7">
        <f>SUMIFS(flu_location[aw25_vve],flu_location[trust_code],$B36,flu_location[location],J$13)/$E36</f>
        <v>2.34192037470726E-3</v>
      </c>
      <c r="K36" s="2">
        <f t="shared" si="6"/>
        <v>5</v>
      </c>
      <c r="M36" s="2">
        <v>23</v>
      </c>
      <c r="O36" s="5" t="str">
        <f t="shared" si="7"/>
        <v>Oxleas</v>
      </c>
      <c r="P36" s="6">
        <f t="shared" si="8"/>
        <v>1170</v>
      </c>
      <c r="Q36" s="7">
        <f t="shared" si="9"/>
        <v>0.68717948717948718</v>
      </c>
      <c r="R36" s="7">
        <f t="shared" si="10"/>
        <v>0.18205128205128204</v>
      </c>
      <c r="S36" s="7">
        <f t="shared" si="11"/>
        <v>0.12991452991452992</v>
      </c>
      <c r="T36" s="7">
        <f t="shared" si="12"/>
        <v>0</v>
      </c>
      <c r="U36" s="7">
        <f t="shared" si="13"/>
        <v>8.547008547008547E-4</v>
      </c>
      <c r="V36" s="6">
        <f t="shared" si="14"/>
        <v>804</v>
      </c>
      <c r="W36" s="6">
        <f t="shared" si="2"/>
        <v>213</v>
      </c>
      <c r="X36" s="6">
        <f t="shared" si="3"/>
        <v>152</v>
      </c>
      <c r="Y36" s="6">
        <f t="shared" si="4"/>
        <v>0</v>
      </c>
      <c r="Z36" s="6">
        <f t="shared" si="5"/>
        <v>1</v>
      </c>
    </row>
    <row r="37" spans="2:26" x14ac:dyDescent="0.35">
      <c r="B37" s="5" t="s">
        <v>164</v>
      </c>
      <c r="C37" s="5" t="s">
        <v>165</v>
      </c>
      <c r="D37" s="5" t="s">
        <v>166</v>
      </c>
      <c r="E37" s="6">
        <f>SUMIFS(flu_location[aw25_vve],flu_location[trust_code],$B37)</f>
        <v>1605</v>
      </c>
      <c r="F37" s="7">
        <f>SUMIFS(flu_location[aw25_vve],flu_location[trust_code],$B37,flu_location[location],F$13)/$E37</f>
        <v>0.6199376947040498</v>
      </c>
      <c r="G37" s="7">
        <f>SUMIFS(flu_location[aw25_vve],flu_location[trust_code],$B37,flu_location[location],G$13)/$E37</f>
        <v>0.17196261682242991</v>
      </c>
      <c r="H37" s="7">
        <f>SUMIFS(flu_location[aw25_vve],flu_location[trust_code],$B37,flu_location[location],H$13)/$E37</f>
        <v>0.20747663551401868</v>
      </c>
      <c r="I37" s="7">
        <f>SUMIFS(flu_location[aw25_vve],flu_location[trust_code],$B37,flu_location[location],I$13)/$E37</f>
        <v>6.2305295950155766E-4</v>
      </c>
      <c r="J37" s="7">
        <f>SUMIFS(flu_location[aw25_vve],flu_location[trust_code],$B37,flu_location[location],J$13)/$E37</f>
        <v>0</v>
      </c>
      <c r="K37" s="2">
        <f t="shared" si="6"/>
        <v>24</v>
      </c>
      <c r="M37" s="2">
        <v>24</v>
      </c>
      <c r="O37" s="5" t="str">
        <f t="shared" si="7"/>
        <v>SLAM</v>
      </c>
      <c r="P37" s="6">
        <f t="shared" si="8"/>
        <v>1605</v>
      </c>
      <c r="Q37" s="7">
        <f t="shared" si="9"/>
        <v>0.6199376947040498</v>
      </c>
      <c r="R37" s="7">
        <f t="shared" si="10"/>
        <v>0.17196261682242991</v>
      </c>
      <c r="S37" s="7">
        <f t="shared" si="11"/>
        <v>0.20747663551401868</v>
      </c>
      <c r="T37" s="7">
        <f t="shared" si="12"/>
        <v>6.2305295950155766E-4</v>
      </c>
      <c r="U37" s="7">
        <f t="shared" si="13"/>
        <v>0</v>
      </c>
      <c r="V37" s="6">
        <f t="shared" si="14"/>
        <v>994.99999999999989</v>
      </c>
      <c r="W37" s="6">
        <f t="shared" si="2"/>
        <v>276</v>
      </c>
      <c r="X37" s="6">
        <f t="shared" si="3"/>
        <v>333</v>
      </c>
      <c r="Y37" s="6">
        <f t="shared" si="4"/>
        <v>1</v>
      </c>
      <c r="Z37" s="6">
        <f t="shared" si="5"/>
        <v>0</v>
      </c>
    </row>
    <row r="38" spans="2:26" x14ac:dyDescent="0.35">
      <c r="B38" s="5" t="s">
        <v>167</v>
      </c>
      <c r="C38" s="5" t="s">
        <v>168</v>
      </c>
      <c r="D38" s="5" t="s">
        <v>169</v>
      </c>
      <c r="E38" s="6">
        <f>SUMIFS(flu_location[aw25_vve],flu_location[trust_code],$B38)</f>
        <v>866</v>
      </c>
      <c r="F38" s="7">
        <f>SUMIFS(flu_location[aw25_vve],flu_location[trust_code],$B38,flu_location[location],F$13)/$E38</f>
        <v>0.53117782909930711</v>
      </c>
      <c r="G38" s="7">
        <f>SUMIFS(flu_location[aw25_vve],flu_location[trust_code],$B38,flu_location[location],G$13)/$E38</f>
        <v>0.1997690531177829</v>
      </c>
      <c r="H38" s="7">
        <f>SUMIFS(flu_location[aw25_vve],flu_location[trust_code],$B38,flu_location[location],H$13)/$E38</f>
        <v>0.26789838337182448</v>
      </c>
      <c r="I38" s="7">
        <f>SUMIFS(flu_location[aw25_vve],flu_location[trust_code],$B38,flu_location[location],I$13)/$E38</f>
        <v>0</v>
      </c>
      <c r="J38" s="7">
        <f>SUMIFS(flu_location[aw25_vve],flu_location[trust_code],$B38,flu_location[location],J$13)/$E38</f>
        <v>1.1547344110854503E-3</v>
      </c>
      <c r="K38" s="2">
        <f t="shared" si="6"/>
        <v>28</v>
      </c>
      <c r="M38" s="2">
        <v>25</v>
      </c>
      <c r="O38" s="5" t="str">
        <f t="shared" si="7"/>
        <v>CLCH</v>
      </c>
      <c r="P38" s="6">
        <f t="shared" si="8"/>
        <v>1549</v>
      </c>
      <c r="Q38" s="7">
        <f t="shared" si="9"/>
        <v>0.5887669464170433</v>
      </c>
      <c r="R38" s="7">
        <f t="shared" si="10"/>
        <v>0.17301484828921884</v>
      </c>
      <c r="S38" s="7">
        <f t="shared" si="11"/>
        <v>0.23628147191736604</v>
      </c>
      <c r="T38" s="7">
        <f t="shared" si="12"/>
        <v>0</v>
      </c>
      <c r="U38" s="7">
        <f t="shared" si="13"/>
        <v>1.9367333763718529E-3</v>
      </c>
      <c r="V38" s="6">
        <f t="shared" si="14"/>
        <v>912.00000000000011</v>
      </c>
      <c r="W38" s="6">
        <f t="shared" si="2"/>
        <v>268</v>
      </c>
      <c r="X38" s="6">
        <f t="shared" si="3"/>
        <v>366</v>
      </c>
      <c r="Y38" s="6">
        <f t="shared" si="4"/>
        <v>0</v>
      </c>
      <c r="Z38" s="6">
        <f t="shared" si="5"/>
        <v>3</v>
      </c>
    </row>
    <row r="39" spans="2:26" x14ac:dyDescent="0.35">
      <c r="B39" s="5" t="s">
        <v>170</v>
      </c>
      <c r="C39" s="5" t="s">
        <v>171</v>
      </c>
      <c r="D39" s="5" t="s">
        <v>172</v>
      </c>
      <c r="E39" s="6">
        <f>SUMIFS(flu_location[aw25_vve],flu_location[trust_code],$B39)</f>
        <v>2848</v>
      </c>
      <c r="F39" s="7">
        <f>SUMIFS(flu_location[aw25_vve],flu_location[trust_code],$B39,flu_location[location],F$13)/$E39</f>
        <v>0.8353230337078652</v>
      </c>
      <c r="G39" s="7">
        <f>SUMIFS(flu_location[aw25_vve],flu_location[trust_code],$B39,flu_location[location],G$13)/$E39</f>
        <v>8.7780898876404501E-2</v>
      </c>
      <c r="H39" s="7">
        <f>SUMIFS(flu_location[aw25_vve],flu_location[trust_code],$B39,flu_location[location],H$13)/$E39</f>
        <v>7.61938202247191E-2</v>
      </c>
      <c r="I39" s="7">
        <f>SUMIFS(flu_location[aw25_vve],flu_location[trust_code],$B39,flu_location[location],I$13)/$E39</f>
        <v>3.5112359550561797E-4</v>
      </c>
      <c r="J39" s="7">
        <f>SUMIFS(flu_location[aw25_vve],flu_location[trust_code],$B39,flu_location[location],J$13)/$E39</f>
        <v>3.5112359550561797E-4</v>
      </c>
      <c r="K39" s="2">
        <f t="shared" si="6"/>
        <v>6</v>
      </c>
      <c r="M39" s="2">
        <v>26</v>
      </c>
      <c r="O39" s="5" t="str">
        <f t="shared" si="7"/>
        <v>West London</v>
      </c>
      <c r="P39" s="6">
        <f t="shared" si="8"/>
        <v>1486</v>
      </c>
      <c r="Q39" s="7">
        <f t="shared" si="9"/>
        <v>0.5841184387617766</v>
      </c>
      <c r="R39" s="7">
        <f t="shared" si="10"/>
        <v>0.20995962314939434</v>
      </c>
      <c r="S39" s="7">
        <f t="shared" si="11"/>
        <v>0.20323014804845221</v>
      </c>
      <c r="T39" s="7">
        <f t="shared" si="12"/>
        <v>0</v>
      </c>
      <c r="U39" s="7">
        <f t="shared" si="13"/>
        <v>2.6917900403768506E-3</v>
      </c>
      <c r="V39" s="6">
        <f t="shared" si="14"/>
        <v>868</v>
      </c>
      <c r="W39" s="6">
        <f t="shared" si="2"/>
        <v>312</v>
      </c>
      <c r="X39" s="6">
        <f t="shared" si="3"/>
        <v>302</v>
      </c>
      <c r="Y39" s="6">
        <f t="shared" si="4"/>
        <v>0</v>
      </c>
      <c r="Z39" s="6">
        <f t="shared" si="5"/>
        <v>4</v>
      </c>
    </row>
    <row r="40" spans="2:26" x14ac:dyDescent="0.35">
      <c r="B40" s="5" t="s">
        <v>173</v>
      </c>
      <c r="C40" s="5" t="s">
        <v>174</v>
      </c>
      <c r="D40" s="5" t="s">
        <v>175</v>
      </c>
      <c r="E40" s="6">
        <f>SUMIFS(flu_location[aw25_vve],flu_location[trust_code],$B40)</f>
        <v>168</v>
      </c>
      <c r="F40" s="7">
        <f>SUMIFS(flu_location[aw25_vve],flu_location[trust_code],$B40,flu_location[location],F$13)/$E40</f>
        <v>0.13690476190476192</v>
      </c>
      <c r="G40" s="7">
        <f>SUMIFS(flu_location[aw25_vve],flu_location[trust_code],$B40,flu_location[location],G$13)/$E40</f>
        <v>0.14880952380952381</v>
      </c>
      <c r="H40" s="7">
        <f>SUMIFS(flu_location[aw25_vve],flu_location[trust_code],$B40,flu_location[location],H$13)/$E40</f>
        <v>0.7142857142857143</v>
      </c>
      <c r="I40" s="7">
        <f>SUMIFS(flu_location[aw25_vve],flu_location[trust_code],$B40,flu_location[location],I$13)/$E40</f>
        <v>0</v>
      </c>
      <c r="J40" s="7">
        <f>SUMIFS(flu_location[aw25_vve],flu_location[trust_code],$B40,flu_location[location],J$13)/$E40</f>
        <v>0</v>
      </c>
      <c r="K40" s="2">
        <f t="shared" si="6"/>
        <v>32</v>
      </c>
      <c r="M40" s="2">
        <v>27</v>
      </c>
      <c r="O40" s="5" t="str">
        <f t="shared" si="7"/>
        <v>ELFT</v>
      </c>
      <c r="P40" s="6">
        <f t="shared" si="8"/>
        <v>2300</v>
      </c>
      <c r="Q40" s="7">
        <f t="shared" si="9"/>
        <v>0.57869565217391306</v>
      </c>
      <c r="R40" s="7">
        <f t="shared" si="10"/>
        <v>0.19260869565217392</v>
      </c>
      <c r="S40" s="7">
        <f t="shared" si="11"/>
        <v>0.22695652173913045</v>
      </c>
      <c r="T40" s="7">
        <f t="shared" si="12"/>
        <v>0</v>
      </c>
      <c r="U40" s="7">
        <f t="shared" si="13"/>
        <v>1.7391304347826088E-3</v>
      </c>
      <c r="V40" s="6">
        <f t="shared" si="14"/>
        <v>1331</v>
      </c>
      <c r="W40" s="6">
        <f t="shared" si="2"/>
        <v>443</v>
      </c>
      <c r="X40" s="6">
        <f t="shared" si="3"/>
        <v>522</v>
      </c>
      <c r="Y40" s="6">
        <f t="shared" si="4"/>
        <v>0</v>
      </c>
      <c r="Z40" s="6">
        <f t="shared" si="5"/>
        <v>4</v>
      </c>
    </row>
    <row r="41" spans="2:26" x14ac:dyDescent="0.35">
      <c r="B41" s="5" t="s">
        <v>176</v>
      </c>
      <c r="C41" s="5" t="s">
        <v>177</v>
      </c>
      <c r="D41" s="5" t="s">
        <v>178</v>
      </c>
      <c r="E41" s="6">
        <f>SUMIFS(flu_location[aw25_vve],flu_location[trust_code],$B41)</f>
        <v>1046</v>
      </c>
      <c r="F41" s="7">
        <f>SUMIFS(flu_location[aw25_vve],flu_location[trust_code],$B41,flu_location[location],F$13)/$E41</f>
        <v>0.70363288718929251</v>
      </c>
      <c r="G41" s="7">
        <f>SUMIFS(flu_location[aw25_vve],flu_location[trust_code],$B41,flu_location[location],G$13)/$E41</f>
        <v>0.1921606118546845</v>
      </c>
      <c r="H41" s="7">
        <f>SUMIFS(flu_location[aw25_vve],flu_location[trust_code],$B41,flu_location[location],H$13)/$E41</f>
        <v>0.1022944550669216</v>
      </c>
      <c r="I41" s="7">
        <f>SUMIFS(flu_location[aw25_vve],flu_location[trust_code],$B41,flu_location[location],I$13)/$E41</f>
        <v>0</v>
      </c>
      <c r="J41" s="7">
        <f>SUMIFS(flu_location[aw25_vve],flu_location[trust_code],$B41,flu_location[location],J$13)/$E41</f>
        <v>1.9120458891013384E-3</v>
      </c>
      <c r="K41" s="2">
        <f t="shared" si="6"/>
        <v>22</v>
      </c>
      <c r="M41" s="2">
        <v>28</v>
      </c>
      <c r="O41" s="5" t="str">
        <f t="shared" si="7"/>
        <v>SWL&amp;StG</v>
      </c>
      <c r="P41" s="6">
        <f t="shared" si="8"/>
        <v>866</v>
      </c>
      <c r="Q41" s="7">
        <f t="shared" si="9"/>
        <v>0.53117782909930711</v>
      </c>
      <c r="R41" s="7">
        <f t="shared" si="10"/>
        <v>0.1997690531177829</v>
      </c>
      <c r="S41" s="7">
        <f t="shared" si="11"/>
        <v>0.26789838337182448</v>
      </c>
      <c r="T41" s="7">
        <f t="shared" si="12"/>
        <v>0</v>
      </c>
      <c r="U41" s="7">
        <f t="shared" si="13"/>
        <v>1.1547344110854503E-3</v>
      </c>
      <c r="V41" s="6">
        <f t="shared" si="14"/>
        <v>459.99999999999994</v>
      </c>
      <c r="W41" s="6">
        <f t="shared" si="2"/>
        <v>173</v>
      </c>
      <c r="X41" s="6">
        <f t="shared" si="3"/>
        <v>232</v>
      </c>
      <c r="Y41" s="6">
        <f t="shared" si="4"/>
        <v>0</v>
      </c>
      <c r="Z41" s="6">
        <f t="shared" si="5"/>
        <v>1</v>
      </c>
    </row>
    <row r="42" spans="2:26" x14ac:dyDescent="0.35">
      <c r="B42" s="5" t="s">
        <v>179</v>
      </c>
      <c r="C42" s="5" t="s">
        <v>180</v>
      </c>
      <c r="D42" s="5" t="s">
        <v>181</v>
      </c>
      <c r="E42" s="6">
        <f>SUMIFS(flu_location[aw25_vve],flu_location[trust_code],$B42)</f>
        <v>1585</v>
      </c>
      <c r="F42" s="7">
        <f>SUMIFS(flu_location[aw25_vve],flu_location[trust_code],$B42,flu_location[location],F$13)/$E42</f>
        <v>0.8485804416403786</v>
      </c>
      <c r="G42" s="7">
        <f>SUMIFS(flu_location[aw25_vve],flu_location[trust_code],$B42,flu_location[location],G$13)/$E42</f>
        <v>8.5173501577287064E-2</v>
      </c>
      <c r="H42" s="7">
        <f>SUMIFS(flu_location[aw25_vve],flu_location[trust_code],$B42,flu_location[location],H$13)/$E42</f>
        <v>6.4984227129337546E-2</v>
      </c>
      <c r="I42" s="7">
        <f>SUMIFS(flu_location[aw25_vve],flu_location[trust_code],$B42,flu_location[location],I$13)/$E42</f>
        <v>6.3091482649842276E-4</v>
      </c>
      <c r="J42" s="7">
        <f>SUMIFS(flu_location[aw25_vve],flu_location[trust_code],$B42,flu_location[location],J$13)/$E42</f>
        <v>6.3091482649842276E-4</v>
      </c>
      <c r="K42" s="2">
        <f t="shared" si="6"/>
        <v>3</v>
      </c>
      <c r="M42" s="2">
        <v>29</v>
      </c>
      <c r="O42" s="5" t="str">
        <f t="shared" si="7"/>
        <v>North London</v>
      </c>
      <c r="P42" s="6">
        <f t="shared" si="8"/>
        <v>1655</v>
      </c>
      <c r="Q42" s="7">
        <f t="shared" si="9"/>
        <v>0.52326283987915412</v>
      </c>
      <c r="R42" s="7">
        <f t="shared" si="10"/>
        <v>0.2217522658610272</v>
      </c>
      <c r="S42" s="7">
        <f t="shared" si="11"/>
        <v>0.2501510574018127</v>
      </c>
      <c r="T42" s="7">
        <f t="shared" si="12"/>
        <v>0</v>
      </c>
      <c r="U42" s="7">
        <f t="shared" si="13"/>
        <v>4.8338368580060423E-3</v>
      </c>
      <c r="V42" s="6">
        <f t="shared" si="14"/>
        <v>866.00000000000011</v>
      </c>
      <c r="W42" s="6">
        <f t="shared" si="2"/>
        <v>367</v>
      </c>
      <c r="X42" s="6">
        <f t="shared" si="3"/>
        <v>414</v>
      </c>
      <c r="Y42" s="6">
        <f t="shared" si="4"/>
        <v>0</v>
      </c>
      <c r="Z42" s="6">
        <f t="shared" si="5"/>
        <v>8</v>
      </c>
    </row>
    <row r="43" spans="2:26" x14ac:dyDescent="0.35">
      <c r="B43" s="5" t="s">
        <v>182</v>
      </c>
      <c r="C43" s="5" t="s">
        <v>183</v>
      </c>
      <c r="D43" s="5" t="s">
        <v>184</v>
      </c>
      <c r="E43" s="6">
        <f>SUMIFS(flu_location[aw25_vve],flu_location[trust_code],$B43)</f>
        <v>3652</v>
      </c>
      <c r="F43" s="7">
        <f>SUMIFS(flu_location[aw25_vve],flu_location[trust_code],$B43,flu_location[location],F$13)/$E43</f>
        <v>0.83351588170865276</v>
      </c>
      <c r="G43" s="7">
        <f>SUMIFS(flu_location[aw25_vve],flu_location[trust_code],$B43,flu_location[location],G$13)/$E43</f>
        <v>8.4611171960569553E-2</v>
      </c>
      <c r="H43" s="7">
        <f>SUMIFS(flu_location[aw25_vve],flu_location[trust_code],$B43,flu_location[location],H$13)/$E43</f>
        <v>8.0777656078860893E-2</v>
      </c>
      <c r="I43" s="7">
        <f>SUMIFS(flu_location[aw25_vve],flu_location[trust_code],$B43,flu_location[location],I$13)/$E43</f>
        <v>0</v>
      </c>
      <c r="J43" s="7">
        <f>SUMIFS(flu_location[aw25_vve],flu_location[trust_code],$B43,flu_location[location],J$13)/$E43</f>
        <v>1.0952902519167579E-3</v>
      </c>
      <c r="K43" s="2">
        <f t="shared" si="6"/>
        <v>8</v>
      </c>
      <c r="M43" s="2">
        <v>30</v>
      </c>
      <c r="O43" s="5" t="str">
        <f t="shared" si="7"/>
        <v>NELFT</v>
      </c>
      <c r="P43" s="6">
        <f t="shared" si="8"/>
        <v>1999</v>
      </c>
      <c r="Q43" s="7">
        <f t="shared" si="9"/>
        <v>0.48074037018509252</v>
      </c>
      <c r="R43" s="7">
        <f t="shared" si="10"/>
        <v>0.23811905952976489</v>
      </c>
      <c r="S43" s="7">
        <f t="shared" si="11"/>
        <v>0.28014007003501751</v>
      </c>
      <c r="T43" s="7">
        <f t="shared" si="12"/>
        <v>0</v>
      </c>
      <c r="U43" s="7">
        <f t="shared" si="13"/>
        <v>1.0005002501250625E-3</v>
      </c>
      <c r="V43" s="6">
        <f t="shared" si="14"/>
        <v>961</v>
      </c>
      <c r="W43" s="6">
        <f t="shared" si="2"/>
        <v>476</v>
      </c>
      <c r="X43" s="6">
        <f t="shared" si="3"/>
        <v>560</v>
      </c>
      <c r="Y43" s="6">
        <f t="shared" si="4"/>
        <v>0</v>
      </c>
      <c r="Z43" s="6">
        <f t="shared" si="5"/>
        <v>1.9999999999999998</v>
      </c>
    </row>
    <row r="44" spans="2:26" x14ac:dyDescent="0.35">
      <c r="B44" s="5" t="s">
        <v>187</v>
      </c>
      <c r="C44" s="5" t="s">
        <v>188</v>
      </c>
      <c r="D44" s="5" t="s">
        <v>189</v>
      </c>
      <c r="E44" s="6">
        <f>SUMIFS(flu_location[aw25_vve],flu_location[trust_code],$B44)</f>
        <v>1486</v>
      </c>
      <c r="F44" s="7">
        <f>SUMIFS(flu_location[aw25_vve],flu_location[trust_code],$B44,flu_location[location],F$13)/$E44</f>
        <v>0.5841184387617766</v>
      </c>
      <c r="G44" s="7">
        <f>SUMIFS(flu_location[aw25_vve],flu_location[trust_code],$B44,flu_location[location],G$13)/$E44</f>
        <v>0.20995962314939434</v>
      </c>
      <c r="H44" s="7">
        <f>SUMIFS(flu_location[aw25_vve],flu_location[trust_code],$B44,flu_location[location],H$13)/$E44</f>
        <v>0.20323014804845221</v>
      </c>
      <c r="I44" s="7">
        <f>SUMIFS(flu_location[aw25_vve],flu_location[trust_code],$B44,flu_location[location],I$13)/$E44</f>
        <v>0</v>
      </c>
      <c r="J44" s="7">
        <f>SUMIFS(flu_location[aw25_vve],flu_location[trust_code],$B44,flu_location[location],J$13)/$E44</f>
        <v>2.6917900403768506E-3</v>
      </c>
      <c r="K44" s="2">
        <f t="shared" si="6"/>
        <v>26</v>
      </c>
      <c r="M44" s="2">
        <v>31</v>
      </c>
      <c r="O44" s="5" t="str">
        <f t="shared" si="7"/>
        <v>CNWL</v>
      </c>
      <c r="P44" s="6">
        <f t="shared" si="8"/>
        <v>2020</v>
      </c>
      <c r="Q44" s="7">
        <f t="shared" si="9"/>
        <v>0.4777227722772277</v>
      </c>
      <c r="R44" s="7">
        <f t="shared" si="10"/>
        <v>0.19653465346534654</v>
      </c>
      <c r="S44" s="7">
        <f t="shared" si="11"/>
        <v>0.32376237623762377</v>
      </c>
      <c r="T44" s="7">
        <f t="shared" si="12"/>
        <v>0</v>
      </c>
      <c r="U44" s="7">
        <f t="shared" si="13"/>
        <v>1.9801980198019802E-3</v>
      </c>
      <c r="V44" s="6">
        <f t="shared" si="14"/>
        <v>965</v>
      </c>
      <c r="W44" s="6">
        <f t="shared" si="2"/>
        <v>397</v>
      </c>
      <c r="X44" s="6">
        <f t="shared" si="3"/>
        <v>654</v>
      </c>
      <c r="Y44" s="6">
        <f t="shared" si="4"/>
        <v>0</v>
      </c>
      <c r="Z44" s="6">
        <f t="shared" si="5"/>
        <v>4</v>
      </c>
    </row>
    <row r="45" spans="2:26" x14ac:dyDescent="0.35">
      <c r="B45" s="5" t="s">
        <v>185</v>
      </c>
      <c r="C45" s="5" t="s">
        <v>186</v>
      </c>
      <c r="D45" s="5" t="s">
        <v>191</v>
      </c>
      <c r="E45" s="6">
        <f>SUMIFS(flu_location[aw25_vve],flu_location[trust_code],$B45)</f>
        <v>1185</v>
      </c>
      <c r="F45" s="7">
        <f>SUMIFS(flu_location[aw25_vve],flu_location[trust_code],$B45,flu_location[location],F$13)/$E45</f>
        <v>0.75443037974683547</v>
      </c>
      <c r="G45" s="7">
        <f>SUMIFS(flu_location[aw25_vve],flu_location[trust_code],$B45,flu_location[location],G$13)/$E45</f>
        <v>0.11392405063291139</v>
      </c>
      <c r="H45" s="7">
        <f>SUMIFS(flu_location[aw25_vve],flu_location[trust_code],$B45,flu_location[location],H$13)/$E45</f>
        <v>0.12911392405063291</v>
      </c>
      <c r="I45" s="7">
        <f>SUMIFS(flu_location[aw25_vve],flu_location[trust_code],$B45,flu_location[location],I$13)/$E45</f>
        <v>0</v>
      </c>
      <c r="J45" s="7">
        <f>SUMIFS(flu_location[aw25_vve],flu_location[trust_code],$B45,flu_location[location],J$13)/$E45</f>
        <v>2.5316455696202532E-3</v>
      </c>
      <c r="K45" s="2">
        <f t="shared" si="6"/>
        <v>18</v>
      </c>
      <c r="M45" s="2">
        <v>32</v>
      </c>
      <c r="O45" s="5" t="str">
        <f t="shared" si="7"/>
        <v>T&amp;P</v>
      </c>
      <c r="P45" s="6">
        <f t="shared" si="8"/>
        <v>168</v>
      </c>
      <c r="Q45" s="7">
        <f t="shared" si="9"/>
        <v>0.13690476190476192</v>
      </c>
      <c r="R45" s="7">
        <f t="shared" si="10"/>
        <v>0.14880952380952381</v>
      </c>
      <c r="S45" s="7">
        <f t="shared" si="11"/>
        <v>0.7142857142857143</v>
      </c>
      <c r="T45" s="7">
        <f t="shared" si="12"/>
        <v>0</v>
      </c>
      <c r="U45" s="7">
        <f t="shared" si="13"/>
        <v>0</v>
      </c>
      <c r="V45" s="6">
        <f t="shared" si="14"/>
        <v>23.000000000000004</v>
      </c>
      <c r="W45" s="6">
        <f t="shared" si="2"/>
        <v>25</v>
      </c>
      <c r="X45" s="6">
        <f t="shared" si="3"/>
        <v>120</v>
      </c>
      <c r="Y45" s="6">
        <f t="shared" si="4"/>
        <v>0</v>
      </c>
      <c r="Z45" s="6">
        <f t="shared" si="5"/>
        <v>0</v>
      </c>
    </row>
    <row r="48" spans="2:26" ht="29.15" customHeight="1" x14ac:dyDescent="0.35"/>
    <row r="59" ht="29.15" customHeight="1" x14ac:dyDescent="0.3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3411D-A8A2-4975-A46F-50085E61A7ED}">
  <sheetPr>
    <tabColor theme="8"/>
  </sheetPr>
  <dimension ref="A2:AN266"/>
  <sheetViews>
    <sheetView showGridLines="0" topLeftCell="L1" zoomScale="80" zoomScaleNormal="80" workbookViewId="0">
      <selection activeCell="C21" sqref="C21"/>
    </sheetView>
  </sheetViews>
  <sheetFormatPr defaultColWidth="8.81640625" defaultRowHeight="14.5" outlineLevelCol="1" x14ac:dyDescent="0.35"/>
  <cols>
    <col min="1" max="1" width="8.54296875" style="2" hidden="1" customWidth="1" outlineLevel="1"/>
    <col min="2" max="2" width="46.81640625" style="2" hidden="1" customWidth="1" outlineLevel="1"/>
    <col min="3" max="8" width="11.54296875" style="2" hidden="1" customWidth="1" outlineLevel="1"/>
    <col min="9" max="11" width="9.1796875" style="2" hidden="1" customWidth="1" outlineLevel="1"/>
    <col min="12" max="12" width="8.54296875" style="2" customWidth="1" collapsed="1"/>
    <col min="13" max="13" width="28.90625" style="2" customWidth="1"/>
    <col min="14" max="19" width="11.54296875" style="2" customWidth="1"/>
    <col min="20" max="20" width="0.81640625" style="2" customWidth="1"/>
    <col min="21" max="22" width="11.54296875" style="2" customWidth="1"/>
    <col min="23" max="36" width="8.81640625" style="2"/>
    <col min="37" max="37" width="17.54296875" style="2" customWidth="1"/>
    <col min="38" max="16384" width="8.81640625" style="2"/>
  </cols>
  <sheetData>
    <row r="2" spans="2:40" ht="26" x14ac:dyDescent="0.6">
      <c r="M2" s="11" t="s">
        <v>644</v>
      </c>
    </row>
    <row r="4" spans="2:40" ht="43.5" x14ac:dyDescent="0.35">
      <c r="B4" s="4" t="s">
        <v>15</v>
      </c>
      <c r="C4" s="50" t="s">
        <v>555</v>
      </c>
      <c r="D4" s="50" t="s">
        <v>556</v>
      </c>
      <c r="E4" s="50" t="s">
        <v>557</v>
      </c>
      <c r="F4" s="50" t="s">
        <v>558</v>
      </c>
      <c r="G4" s="50" t="s">
        <v>559</v>
      </c>
      <c r="H4" s="50" t="s">
        <v>560</v>
      </c>
      <c r="M4" s="4" t="s">
        <v>15</v>
      </c>
      <c r="N4" s="50" t="s">
        <v>555</v>
      </c>
      <c r="O4" s="50" t="s">
        <v>556</v>
      </c>
      <c r="P4" s="50" t="s">
        <v>557</v>
      </c>
      <c r="Q4" s="50" t="s">
        <v>558</v>
      </c>
      <c r="R4" s="50" t="s">
        <v>559</v>
      </c>
      <c r="S4" s="50" t="s">
        <v>560</v>
      </c>
      <c r="U4" s="47" t="s">
        <v>642</v>
      </c>
      <c r="V4" s="47" t="s">
        <v>643</v>
      </c>
    </row>
    <row r="5" spans="2:40" x14ac:dyDescent="0.35">
      <c r="B5" s="5" t="s">
        <v>67</v>
      </c>
      <c r="C5" s="6">
        <f>SUMIFS(flu_group[flhcw],flu_group[staff_group],$B5,flu_group[season],"2025-2026")</f>
        <v>13481</v>
      </c>
      <c r="D5" s="6">
        <f>SUMIFS(flu_group[vve],flu_group[staff_group],$B5,flu_group[season],"2025-2026")</f>
        <v>5505</v>
      </c>
      <c r="E5" s="7">
        <f>D5/C5</f>
        <v>0.40835249610563013</v>
      </c>
      <c r="F5" s="6">
        <f>C5-D5</f>
        <v>7976</v>
      </c>
      <c r="G5" s="7">
        <f>SUMIFS(flu_group[vve],flu_group[staff_group],$B5,flu_group[season],"2024-2025")/SUMIFS(flu_group[flhcw],flu_group[staff_group],$B5,flu_group[season],"2024-2025")</f>
        <v>0.3320970254432164</v>
      </c>
      <c r="H5" s="7">
        <f>E5-G5</f>
        <v>7.6255470662413727E-2</v>
      </c>
      <c r="I5" s="2">
        <f>_xlfn.RANK.EQ(E5,$E$5:$E$13,0)</f>
        <v>4</v>
      </c>
      <c r="K5" s="2">
        <v>1</v>
      </c>
      <c r="M5" s="5" t="str">
        <f t="shared" ref="M5:S13" si="0">INDEX(B$5:B$13,MATCH($K5,$I$5:$I$13,0))</f>
        <v>Medical and Dental</v>
      </c>
      <c r="N5" s="6">
        <f t="shared" si="0"/>
        <v>41722</v>
      </c>
      <c r="O5" s="6">
        <f t="shared" si="0"/>
        <v>20923</v>
      </c>
      <c r="P5" s="7">
        <f t="shared" si="0"/>
        <v>0.50148602655673269</v>
      </c>
      <c r="Q5" s="6">
        <f t="shared" si="0"/>
        <v>20799</v>
      </c>
      <c r="R5" s="7">
        <f t="shared" si="0"/>
        <v>0.42529121326877906</v>
      </c>
      <c r="S5" s="7">
        <f t="shared" si="0"/>
        <v>7.6194813287953633E-2</v>
      </c>
      <c r="U5" s="30">
        <f>0.6-P5</f>
        <v>9.8513973443267289E-2</v>
      </c>
      <c r="V5" s="28">
        <f>(N5*0.6)-O5</f>
        <v>4110.2000000000007</v>
      </c>
      <c r="AL5" s="23"/>
      <c r="AM5" s="23"/>
      <c r="AN5" s="24"/>
    </row>
    <row r="6" spans="2:40" x14ac:dyDescent="0.35">
      <c r="B6" s="5" t="s">
        <v>81</v>
      </c>
      <c r="C6" s="6">
        <f>SUMIFS(flu_group[flhcw],flu_group[staff_group],$B6,flu_group[season],"2025-2026")</f>
        <v>38377</v>
      </c>
      <c r="D6" s="6">
        <f>SUMIFS(flu_group[vve],flu_group[staff_group],$B6,flu_group[season],"2025-2026")</f>
        <v>11558</v>
      </c>
      <c r="E6" s="7">
        <f t="shared" ref="E6:E13" si="1">D6/C6</f>
        <v>0.30116997159757147</v>
      </c>
      <c r="F6" s="6">
        <f t="shared" ref="F6:F13" si="2">C6-D6</f>
        <v>26819</v>
      </c>
      <c r="G6" s="7">
        <f>SUMIFS(flu_group[vve],flu_group[staff_group],$B6,flu_group[season],"2024-2025")/SUMIFS(flu_group[flhcw],flu_group[staff_group],$B6,flu_group[season],"2024-2025")</f>
        <v>0.25437110769471299</v>
      </c>
      <c r="H6" s="7">
        <f t="shared" ref="H6:H13" si="3">E6-G6</f>
        <v>4.6798863902858479E-2</v>
      </c>
      <c r="I6" s="2">
        <f t="shared" ref="I6:I13" si="4">_xlfn.RANK.EQ(E6,$E$5:$E$13,0)</f>
        <v>7</v>
      </c>
      <c r="K6" s="2">
        <v>2</v>
      </c>
      <c r="M6" s="5" t="str">
        <f t="shared" si="0"/>
        <v>Allied Health Professionals</v>
      </c>
      <c r="N6" s="6">
        <f t="shared" si="0"/>
        <v>18822</v>
      </c>
      <c r="O6" s="6">
        <f t="shared" si="0"/>
        <v>8586</v>
      </c>
      <c r="P6" s="7">
        <f t="shared" si="0"/>
        <v>0.45616831367548616</v>
      </c>
      <c r="Q6" s="6">
        <f t="shared" si="0"/>
        <v>10236</v>
      </c>
      <c r="R6" s="7">
        <f t="shared" si="0"/>
        <v>0.36993943257889705</v>
      </c>
      <c r="S6" s="7">
        <f t="shared" si="0"/>
        <v>8.6228881096589105E-2</v>
      </c>
      <c r="U6" s="30">
        <f t="shared" ref="U6:U13" si="5">0.6-P6</f>
        <v>0.14383168632451382</v>
      </c>
      <c r="V6" s="28">
        <f t="shared" ref="V6:V13" si="6">(N6*0.6)-O6</f>
        <v>2707.1999999999989</v>
      </c>
      <c r="AL6" s="23"/>
      <c r="AM6" s="23"/>
      <c r="AN6" s="24"/>
    </row>
    <row r="7" spans="2:40" x14ac:dyDescent="0.35">
      <c r="B7" s="5" t="s">
        <v>46</v>
      </c>
      <c r="C7" s="6">
        <f>SUMIFS(flu_group[flhcw],flu_group[staff_group],$B7,flu_group[season],"2025-2026")</f>
        <v>5434</v>
      </c>
      <c r="D7" s="6">
        <f>SUMIFS(flu_group[vve],flu_group[staff_group],$B7,flu_group[season],"2025-2026")</f>
        <v>1652</v>
      </c>
      <c r="E7" s="7">
        <f t="shared" si="1"/>
        <v>0.30401177769598819</v>
      </c>
      <c r="F7" s="6">
        <f t="shared" si="2"/>
        <v>3782</v>
      </c>
      <c r="G7" s="7">
        <f>SUMIFS(flu_group[vve],flu_group[staff_group],$B7,flu_group[season],"2024-2025")/SUMIFS(flu_group[flhcw],flu_group[staff_group],$B7,flu_group[season],"2024-2025")</f>
        <v>0.2689693183905934</v>
      </c>
      <c r="H7" s="7">
        <f t="shared" si="3"/>
        <v>3.5042459305394791E-2</v>
      </c>
      <c r="I7" s="2">
        <f t="shared" si="4"/>
        <v>6</v>
      </c>
      <c r="K7" s="2">
        <v>3</v>
      </c>
      <c r="M7" s="5" t="str">
        <f t="shared" si="0"/>
        <v>Healthcare Scientists</v>
      </c>
      <c r="N7" s="6">
        <f t="shared" si="0"/>
        <v>4333</v>
      </c>
      <c r="O7" s="6">
        <f t="shared" si="0"/>
        <v>1819</v>
      </c>
      <c r="P7" s="7">
        <f t="shared" si="0"/>
        <v>0.41980152319409186</v>
      </c>
      <c r="Q7" s="6">
        <f t="shared" si="0"/>
        <v>2514</v>
      </c>
      <c r="R7" s="7">
        <f t="shared" si="0"/>
        <v>0.36815345504968799</v>
      </c>
      <c r="S7" s="7">
        <f t="shared" si="0"/>
        <v>5.1648068144403869E-2</v>
      </c>
      <c r="U7" s="30">
        <f t="shared" si="5"/>
        <v>0.18019847680590811</v>
      </c>
      <c r="V7" s="28">
        <f t="shared" si="6"/>
        <v>780.79999999999973</v>
      </c>
      <c r="AL7" s="23"/>
      <c r="AM7" s="23"/>
      <c r="AN7" s="24"/>
    </row>
    <row r="8" spans="2:40" x14ac:dyDescent="0.35">
      <c r="B8" s="5" t="s">
        <v>60</v>
      </c>
      <c r="C8" s="6">
        <f>SUMIFS(flu_group[flhcw],flu_group[staff_group],$B8,flu_group[season],"2025-2026")</f>
        <v>18822</v>
      </c>
      <c r="D8" s="6">
        <f>SUMIFS(flu_group[vve],flu_group[staff_group],$B8,flu_group[season],"2025-2026")</f>
        <v>8586</v>
      </c>
      <c r="E8" s="7">
        <f t="shared" si="1"/>
        <v>0.45616831367548616</v>
      </c>
      <c r="F8" s="6">
        <f t="shared" si="2"/>
        <v>10236</v>
      </c>
      <c r="G8" s="7">
        <f>SUMIFS(flu_group[vve],flu_group[staff_group],$B8,flu_group[season],"2024-2025")/SUMIFS(flu_group[flhcw],flu_group[staff_group],$B8,flu_group[season],"2024-2025")</f>
        <v>0.36993943257889705</v>
      </c>
      <c r="H8" s="7">
        <f t="shared" si="3"/>
        <v>8.6228881096589105E-2</v>
      </c>
      <c r="I8" s="2">
        <f t="shared" si="4"/>
        <v>2</v>
      </c>
      <c r="K8" s="2">
        <v>4</v>
      </c>
      <c r="M8" s="5" t="str">
        <f t="shared" si="0"/>
        <v>Add Prof Scientific and Technic</v>
      </c>
      <c r="N8" s="6">
        <f t="shared" si="0"/>
        <v>13481</v>
      </c>
      <c r="O8" s="6">
        <f t="shared" si="0"/>
        <v>5505</v>
      </c>
      <c r="P8" s="7">
        <f t="shared" si="0"/>
        <v>0.40835249610563013</v>
      </c>
      <c r="Q8" s="6">
        <f t="shared" si="0"/>
        <v>7976</v>
      </c>
      <c r="R8" s="7">
        <f t="shared" si="0"/>
        <v>0.3320970254432164</v>
      </c>
      <c r="S8" s="7">
        <f t="shared" si="0"/>
        <v>7.6255470662413727E-2</v>
      </c>
      <c r="U8" s="30">
        <f t="shared" si="5"/>
        <v>0.19164750389436985</v>
      </c>
      <c r="V8" s="28">
        <f t="shared" si="6"/>
        <v>2583.5999999999995</v>
      </c>
      <c r="AL8" s="23"/>
      <c r="AM8" s="23"/>
      <c r="AN8" s="24"/>
    </row>
    <row r="9" spans="2:40" x14ac:dyDescent="0.35">
      <c r="B9" s="5" t="s">
        <v>28</v>
      </c>
      <c r="C9" s="6">
        <f>SUMIFS(flu_group[flhcw],flu_group[staff_group],$B9,flu_group[season],"2025-2026")</f>
        <v>7181</v>
      </c>
      <c r="D9" s="6">
        <f>SUMIFS(flu_group[vve],flu_group[staff_group],$B9,flu_group[season],"2025-2026")</f>
        <v>2147</v>
      </c>
      <c r="E9" s="7">
        <f t="shared" si="1"/>
        <v>0.2989834284918535</v>
      </c>
      <c r="F9" s="6">
        <f t="shared" si="2"/>
        <v>5034</v>
      </c>
      <c r="G9" s="7">
        <f>SUMIFS(flu_group[vve],flu_group[staff_group],$B9,flu_group[season],"2024-2025")/SUMIFS(flu_group[flhcw],flu_group[staff_group],$B9,flu_group[season],"2024-2025")</f>
        <v>0.25817675713291582</v>
      </c>
      <c r="H9" s="7">
        <f t="shared" si="3"/>
        <v>4.0806671358937674E-2</v>
      </c>
      <c r="I9" s="2">
        <f t="shared" si="4"/>
        <v>8</v>
      </c>
      <c r="K9" s="2">
        <v>5</v>
      </c>
      <c r="M9" s="5" t="str">
        <f t="shared" si="0"/>
        <v>Nursing and Midwifery Registered</v>
      </c>
      <c r="N9" s="6">
        <f t="shared" si="0"/>
        <v>65585</v>
      </c>
      <c r="O9" s="6">
        <f t="shared" si="0"/>
        <v>25490</v>
      </c>
      <c r="P9" s="7">
        <f t="shared" si="0"/>
        <v>0.38865594266981779</v>
      </c>
      <c r="Q9" s="6">
        <f t="shared" si="0"/>
        <v>40095</v>
      </c>
      <c r="R9" s="7">
        <f t="shared" si="0"/>
        <v>0.32728520240908743</v>
      </c>
      <c r="S9" s="7">
        <f t="shared" si="0"/>
        <v>6.1370740260730361E-2</v>
      </c>
      <c r="U9" s="30">
        <f t="shared" si="5"/>
        <v>0.21134405733018219</v>
      </c>
      <c r="V9" s="28">
        <f t="shared" si="6"/>
        <v>13861</v>
      </c>
      <c r="AL9" s="23"/>
      <c r="AM9" s="23"/>
      <c r="AN9" s="24"/>
    </row>
    <row r="10" spans="2:40" x14ac:dyDescent="0.35">
      <c r="B10" s="5" t="s">
        <v>74</v>
      </c>
      <c r="C10" s="6">
        <f>SUMIFS(flu_group[flhcw],flu_group[staff_group],$B10,flu_group[season],"2025-2026")</f>
        <v>4333</v>
      </c>
      <c r="D10" s="6">
        <f>SUMIFS(flu_group[vve],flu_group[staff_group],$B10,flu_group[season],"2025-2026")</f>
        <v>1819</v>
      </c>
      <c r="E10" s="7">
        <f t="shared" si="1"/>
        <v>0.41980152319409186</v>
      </c>
      <c r="F10" s="6">
        <f t="shared" si="2"/>
        <v>2514</v>
      </c>
      <c r="G10" s="7">
        <f>SUMIFS(flu_group[vve],flu_group[staff_group],$B10,flu_group[season],"2024-2025")/SUMIFS(flu_group[flhcw],flu_group[staff_group],$B10,flu_group[season],"2024-2025")</f>
        <v>0.36815345504968799</v>
      </c>
      <c r="H10" s="7">
        <f t="shared" si="3"/>
        <v>5.1648068144403869E-2</v>
      </c>
      <c r="I10" s="2">
        <f t="shared" si="4"/>
        <v>3</v>
      </c>
      <c r="K10" s="2">
        <v>6</v>
      </c>
      <c r="M10" s="5" t="str">
        <f t="shared" si="0"/>
        <v>Administrative and Clerical</v>
      </c>
      <c r="N10" s="6">
        <f t="shared" si="0"/>
        <v>5434</v>
      </c>
      <c r="O10" s="6">
        <f t="shared" si="0"/>
        <v>1652</v>
      </c>
      <c r="P10" s="7">
        <f t="shared" si="0"/>
        <v>0.30401177769598819</v>
      </c>
      <c r="Q10" s="6">
        <f t="shared" si="0"/>
        <v>3782</v>
      </c>
      <c r="R10" s="7">
        <f t="shared" si="0"/>
        <v>0.2689693183905934</v>
      </c>
      <c r="S10" s="7">
        <f t="shared" si="0"/>
        <v>3.5042459305394791E-2</v>
      </c>
      <c r="U10" s="30">
        <f t="shared" si="5"/>
        <v>0.29598822230401178</v>
      </c>
      <c r="V10" s="28">
        <f t="shared" si="6"/>
        <v>1608.4</v>
      </c>
      <c r="AL10" s="23"/>
      <c r="AM10" s="23"/>
      <c r="AN10" s="24"/>
    </row>
    <row r="11" spans="2:40" x14ac:dyDescent="0.35">
      <c r="B11" s="5" t="s">
        <v>42</v>
      </c>
      <c r="C11" s="6">
        <f>SUMIFS(flu_group[flhcw],flu_group[staff_group],$B11,flu_group[season],"2025-2026")</f>
        <v>41722</v>
      </c>
      <c r="D11" s="6">
        <f>SUMIFS(flu_group[vve],flu_group[staff_group],$B11,flu_group[season],"2025-2026")</f>
        <v>20923</v>
      </c>
      <c r="E11" s="7">
        <f t="shared" si="1"/>
        <v>0.50148602655673269</v>
      </c>
      <c r="F11" s="6">
        <f t="shared" si="2"/>
        <v>20799</v>
      </c>
      <c r="G11" s="7">
        <f>SUMIFS(flu_group[vve],flu_group[staff_group],$B11,flu_group[season],"2024-2025")/SUMIFS(flu_group[flhcw],flu_group[staff_group],$B11,flu_group[season],"2024-2025")</f>
        <v>0.42529121326877906</v>
      </c>
      <c r="H11" s="7">
        <f t="shared" si="3"/>
        <v>7.6194813287953633E-2</v>
      </c>
      <c r="I11" s="2">
        <f t="shared" si="4"/>
        <v>1</v>
      </c>
      <c r="K11" s="2">
        <v>7</v>
      </c>
      <c r="M11" s="5" t="str">
        <f t="shared" si="0"/>
        <v>Additional Clinical Services</v>
      </c>
      <c r="N11" s="6">
        <f t="shared" si="0"/>
        <v>38377</v>
      </c>
      <c r="O11" s="6">
        <f t="shared" si="0"/>
        <v>11558</v>
      </c>
      <c r="P11" s="7">
        <f t="shared" si="0"/>
        <v>0.30116997159757147</v>
      </c>
      <c r="Q11" s="6">
        <f t="shared" si="0"/>
        <v>26819</v>
      </c>
      <c r="R11" s="7">
        <f t="shared" si="0"/>
        <v>0.25437110769471299</v>
      </c>
      <c r="S11" s="7">
        <f t="shared" si="0"/>
        <v>4.6798863902858479E-2</v>
      </c>
      <c r="U11" s="30">
        <f t="shared" si="5"/>
        <v>0.2988300284024285</v>
      </c>
      <c r="V11" s="28">
        <f t="shared" si="6"/>
        <v>11468.2</v>
      </c>
      <c r="AL11" s="23"/>
      <c r="AM11" s="23"/>
      <c r="AN11" s="24"/>
    </row>
    <row r="12" spans="2:40" x14ac:dyDescent="0.35">
      <c r="B12" s="5" t="s">
        <v>53</v>
      </c>
      <c r="C12" s="6">
        <f>SUMIFS(flu_group[flhcw],flu_group[staff_group],$B12,flu_group[season],"2025-2026")</f>
        <v>65585</v>
      </c>
      <c r="D12" s="6">
        <f>SUMIFS(flu_group[vve],flu_group[staff_group],$B12,flu_group[season],"2025-2026")</f>
        <v>25490</v>
      </c>
      <c r="E12" s="7">
        <f t="shared" si="1"/>
        <v>0.38865594266981779</v>
      </c>
      <c r="F12" s="6">
        <f t="shared" si="2"/>
        <v>40095</v>
      </c>
      <c r="G12" s="7">
        <f>SUMIFS(flu_group[vve],flu_group[staff_group],$B12,flu_group[season],"2024-2025")/SUMIFS(flu_group[flhcw],flu_group[staff_group],$B12,flu_group[season],"2024-2025")</f>
        <v>0.32728520240908743</v>
      </c>
      <c r="H12" s="7">
        <f t="shared" si="3"/>
        <v>6.1370740260730361E-2</v>
      </c>
      <c r="I12" s="2">
        <f t="shared" si="4"/>
        <v>5</v>
      </c>
      <c r="K12" s="2">
        <v>8</v>
      </c>
      <c r="M12" s="5" t="str">
        <f t="shared" si="0"/>
        <v>Estates and Ancillary</v>
      </c>
      <c r="N12" s="6">
        <f t="shared" si="0"/>
        <v>7181</v>
      </c>
      <c r="O12" s="6">
        <f t="shared" si="0"/>
        <v>2147</v>
      </c>
      <c r="P12" s="7">
        <f t="shared" si="0"/>
        <v>0.2989834284918535</v>
      </c>
      <c r="Q12" s="6">
        <f t="shared" si="0"/>
        <v>5034</v>
      </c>
      <c r="R12" s="7">
        <f t="shared" si="0"/>
        <v>0.25817675713291582</v>
      </c>
      <c r="S12" s="7">
        <f t="shared" si="0"/>
        <v>4.0806671358937674E-2</v>
      </c>
      <c r="U12" s="30">
        <f t="shared" si="5"/>
        <v>0.30101657150814648</v>
      </c>
      <c r="V12" s="28">
        <f t="shared" si="6"/>
        <v>2161.5999999999995</v>
      </c>
      <c r="AL12" s="23"/>
      <c r="AM12" s="23"/>
      <c r="AN12" s="24"/>
    </row>
    <row r="13" spans="2:40" x14ac:dyDescent="0.35">
      <c r="B13" s="5" t="s">
        <v>35</v>
      </c>
      <c r="C13" s="6">
        <f>SUMIFS(flu_group[flhcw],flu_group[staff_group],$B13,flu_group[season],"2025-2026")</f>
        <v>558</v>
      </c>
      <c r="D13" s="6">
        <f>SUMIFS(flu_group[vve],flu_group[staff_group],$B13,flu_group[season],"2025-2026")</f>
        <v>147</v>
      </c>
      <c r="E13" s="7">
        <f t="shared" si="1"/>
        <v>0.26344086021505375</v>
      </c>
      <c r="F13" s="6">
        <f t="shared" si="2"/>
        <v>411</v>
      </c>
      <c r="G13" s="7">
        <f>SUMIFS(flu_group[vve],flu_group[staff_group],$B13,flu_group[season],"2024-2025")/SUMIFS(flu_group[flhcw],flu_group[staff_group],$B13,flu_group[season],"2024-2025")</f>
        <v>0.20279720279720279</v>
      </c>
      <c r="H13" s="7">
        <f t="shared" si="3"/>
        <v>6.0643657417850966E-2</v>
      </c>
      <c r="I13" s="2">
        <f t="shared" si="4"/>
        <v>9</v>
      </c>
      <c r="K13" s="2">
        <v>9</v>
      </c>
      <c r="M13" s="5" t="str">
        <f t="shared" si="0"/>
        <v>Students</v>
      </c>
      <c r="N13" s="6">
        <f t="shared" si="0"/>
        <v>558</v>
      </c>
      <c r="O13" s="6">
        <f t="shared" si="0"/>
        <v>147</v>
      </c>
      <c r="P13" s="7">
        <f t="shared" si="0"/>
        <v>0.26344086021505375</v>
      </c>
      <c r="Q13" s="6">
        <f t="shared" si="0"/>
        <v>411</v>
      </c>
      <c r="R13" s="7">
        <f t="shared" si="0"/>
        <v>0.20279720279720279</v>
      </c>
      <c r="S13" s="7">
        <f t="shared" si="0"/>
        <v>6.0643657417850966E-2</v>
      </c>
      <c r="U13" s="30">
        <f t="shared" si="5"/>
        <v>0.33655913978494623</v>
      </c>
      <c r="V13" s="28">
        <f t="shared" si="6"/>
        <v>187.8</v>
      </c>
      <c r="AL13" s="23"/>
      <c r="AM13" s="23"/>
      <c r="AN13" s="24"/>
    </row>
    <row r="14" spans="2:40" x14ac:dyDescent="0.35">
      <c r="AM14"/>
    </row>
    <row r="15" spans="2:40" ht="26" x14ac:dyDescent="0.6">
      <c r="M15" s="11" t="s">
        <v>645</v>
      </c>
      <c r="AM15"/>
    </row>
    <row r="16" spans="2:40" x14ac:dyDescent="0.35">
      <c r="AM16"/>
    </row>
    <row r="17" spans="2:39" x14ac:dyDescent="0.35">
      <c r="M17" s="4" t="s">
        <v>646</v>
      </c>
      <c r="AM17"/>
    </row>
    <row r="18" spans="2:39" x14ac:dyDescent="0.35">
      <c r="M18" s="8" t="s">
        <v>647</v>
      </c>
      <c r="AM18"/>
    </row>
    <row r="19" spans="2:39" x14ac:dyDescent="0.35">
      <c r="AM19"/>
    </row>
    <row r="20" spans="2:39" ht="43.5" x14ac:dyDescent="0.35">
      <c r="B20" s="4" t="s">
        <v>15</v>
      </c>
      <c r="C20" s="50" t="s">
        <v>555</v>
      </c>
      <c r="D20" s="50" t="s">
        <v>556</v>
      </c>
      <c r="E20" s="50" t="s">
        <v>557</v>
      </c>
      <c r="F20" s="50" t="s">
        <v>558</v>
      </c>
      <c r="G20" s="50" t="s">
        <v>559</v>
      </c>
      <c r="H20" s="50" t="s">
        <v>560</v>
      </c>
      <c r="M20" s="4" t="s">
        <v>15</v>
      </c>
      <c r="N20" s="50" t="s">
        <v>555</v>
      </c>
      <c r="O20" s="50" t="s">
        <v>556</v>
      </c>
      <c r="P20" s="50" t="s">
        <v>557</v>
      </c>
      <c r="Q20" s="50" t="s">
        <v>558</v>
      </c>
      <c r="R20" s="50" t="s">
        <v>559</v>
      </c>
      <c r="S20" s="50" t="s">
        <v>560</v>
      </c>
      <c r="U20" s="47" t="s">
        <v>642</v>
      </c>
      <c r="V20" s="47" t="s">
        <v>643</v>
      </c>
      <c r="AM20"/>
    </row>
    <row r="21" spans="2:39" x14ac:dyDescent="0.35">
      <c r="B21" s="5" t="s">
        <v>67</v>
      </c>
      <c r="C21" s="6" t="str">
        <f>IF($M$18="&lt;Please Select&gt;","",SUMIFS(flu_group[flhcw],flu_group[staff_group],$B21,flu_group[season],"2025-2026",flu_group[trust_short],$M$18))</f>
        <v/>
      </c>
      <c r="D21" s="6" t="str">
        <f>IF($M$18="&lt;Please Select&gt;","",SUMIFS(flu_group[vve],flu_group[staff_group],$B21,flu_group[season],"2025-2026",flu_group[trust_short],$M$18))</f>
        <v/>
      </c>
      <c r="E21" s="7" t="str">
        <f>IFERROR(D21/C21,"")</f>
        <v/>
      </c>
      <c r="F21" s="6" t="str">
        <f>IFERROR(C21-D21,"")</f>
        <v/>
      </c>
      <c r="G21" s="7" t="str">
        <f>IF($M$18="&lt;Please Select&gt;","",SUMIFS(flu_group[vve],flu_group[staff_group],$B21,flu_group[season],"2024-2025",flu_group[trust_short],$M$18)/SUMIFS(flu_group[flhcw],flu_group[staff_group],$B21,flu_group[season],"2024-2025",flu_group[trust_short],$M$18))</f>
        <v/>
      </c>
      <c r="H21" s="7" t="str">
        <f>IFERROR(E21-G21,"")</f>
        <v/>
      </c>
      <c r="I21" s="2" t="str">
        <f>IFERROR(_xlfn.RANK.EQ(E21,$E$21:$E$29,0),"")</f>
        <v/>
      </c>
      <c r="K21" s="2">
        <v>1</v>
      </c>
      <c r="M21" s="5" t="str">
        <f t="shared" ref="M21:S21" si="7">IFERROR(INDEX(B$21:B$29,MATCH($K21,$I$21:$I$29,0)),"")</f>
        <v/>
      </c>
      <c r="N21" s="5" t="str">
        <f t="shared" si="7"/>
        <v/>
      </c>
      <c r="O21" s="5" t="str">
        <f t="shared" si="7"/>
        <v/>
      </c>
      <c r="P21" s="7" t="str">
        <f t="shared" si="7"/>
        <v/>
      </c>
      <c r="Q21" s="6" t="str">
        <f t="shared" si="7"/>
        <v/>
      </c>
      <c r="R21" s="7" t="str">
        <f t="shared" si="7"/>
        <v/>
      </c>
      <c r="S21" s="7" t="str">
        <f t="shared" si="7"/>
        <v/>
      </c>
      <c r="U21" s="30" t="str">
        <f>IFERROR(0.6-P21,"")</f>
        <v/>
      </c>
      <c r="V21" s="28" t="str">
        <f>IFERROR((N21*0.6)-O21,"")</f>
        <v/>
      </c>
      <c r="AM21"/>
    </row>
    <row r="22" spans="2:39" x14ac:dyDescent="0.35">
      <c r="B22" s="5" t="s">
        <v>81</v>
      </c>
      <c r="C22" s="6" t="str">
        <f>IF($M$18="&lt;Please Select&gt;","",SUMIFS(flu_group[flhcw],flu_group[staff_group],$B22,flu_group[season],"2025-2026",flu_group[trust_short],$M$18))</f>
        <v/>
      </c>
      <c r="D22" s="6" t="str">
        <f>IF($M$18="&lt;Please Select&gt;","",SUMIFS(flu_group[vve],flu_group[staff_group],$B22,flu_group[season],"2025-2026",flu_group[trust_short],$M$18))</f>
        <v/>
      </c>
      <c r="E22" s="7" t="str">
        <f t="shared" ref="E22:E29" si="8">IFERROR(D22/C22,"")</f>
        <v/>
      </c>
      <c r="F22" s="6" t="str">
        <f t="shared" ref="F22:F29" si="9">IFERROR(C22-D22,"")</f>
        <v/>
      </c>
      <c r="G22" s="7" t="str">
        <f>IF($M$18="&lt;Please Select&gt;","",SUMIFS(flu_group[vve],flu_group[staff_group],$B22,flu_group[season],"2024-2025",flu_group[trust_short],$M$18)/SUMIFS(flu_group[flhcw],flu_group[staff_group],$B22,flu_group[season],"2024-2025",flu_group[trust_short],$M$18))</f>
        <v/>
      </c>
      <c r="H22" s="7" t="str">
        <f t="shared" ref="H22:H29" si="10">IFERROR(E22-G22,"")</f>
        <v/>
      </c>
      <c r="I22" s="2" t="str">
        <f t="shared" ref="I22:I29" si="11">IFERROR(_xlfn.RANK.EQ(E22,$E$21:$E$29,0),"")</f>
        <v/>
      </c>
      <c r="K22" s="2">
        <v>2</v>
      </c>
      <c r="M22" s="5" t="str">
        <f t="shared" ref="M22:M29" si="12">IFERROR(INDEX(B$21:B$29,MATCH($K22,$I$21:$I$29,0)),"")</f>
        <v/>
      </c>
      <c r="N22" s="5" t="str">
        <f t="shared" ref="N22:N29" si="13">IFERROR(INDEX(C$21:C$29,MATCH($K22,$I$21:$I$29,0)),"")</f>
        <v/>
      </c>
      <c r="O22" s="5" t="str">
        <f t="shared" ref="O22:O29" si="14">IFERROR(INDEX(D$21:D$29,MATCH($K22,$I$21:$I$29,0)),"")</f>
        <v/>
      </c>
      <c r="P22" s="7" t="str">
        <f t="shared" ref="P22:P29" si="15">IFERROR(INDEX(E$21:E$29,MATCH($K22,$I$21:$I$29,0)),"")</f>
        <v/>
      </c>
      <c r="Q22" s="6" t="str">
        <f t="shared" ref="Q22:Q29" si="16">IFERROR(INDEX(F$21:F$29,MATCH($K22,$I$21:$I$29,0)),"")</f>
        <v/>
      </c>
      <c r="R22" s="7" t="str">
        <f t="shared" ref="R22:R29" si="17">IFERROR(INDEX(G$21:G$29,MATCH($K22,$I$21:$I$29,0)),"")</f>
        <v/>
      </c>
      <c r="S22" s="7" t="str">
        <f t="shared" ref="S22:S29" si="18">IFERROR(INDEX(H$21:H$29,MATCH($K22,$I$21:$I$29,0)),"")</f>
        <v/>
      </c>
      <c r="U22" s="30" t="str">
        <f t="shared" ref="U22:U29" si="19">IFERROR(0.6-P22,"")</f>
        <v/>
      </c>
      <c r="V22" s="28" t="str">
        <f t="shared" ref="V22:V29" si="20">IFERROR((N22*0.6)-O22,"")</f>
        <v/>
      </c>
      <c r="AM22"/>
    </row>
    <row r="23" spans="2:39" x14ac:dyDescent="0.35">
      <c r="B23" s="5" t="s">
        <v>46</v>
      </c>
      <c r="C23" s="6" t="str">
        <f>IF($M$18="&lt;Please Select&gt;","",SUMIFS(flu_group[flhcw],flu_group[staff_group],$B23,flu_group[season],"2025-2026",flu_group[trust_short],$M$18))</f>
        <v/>
      </c>
      <c r="D23" s="6" t="str">
        <f>IF($M$18="&lt;Please Select&gt;","",SUMIFS(flu_group[vve],flu_group[staff_group],$B23,flu_group[season],"2025-2026",flu_group[trust_short],$M$18))</f>
        <v/>
      </c>
      <c r="E23" s="7" t="str">
        <f t="shared" si="8"/>
        <v/>
      </c>
      <c r="F23" s="6" t="str">
        <f t="shared" si="9"/>
        <v/>
      </c>
      <c r="G23" s="7" t="str">
        <f>IF($M$18="&lt;Please Select&gt;","",SUMIFS(flu_group[vve],flu_group[staff_group],$B23,flu_group[season],"2024-2025",flu_group[trust_short],$M$18)/SUMIFS(flu_group[flhcw],flu_group[staff_group],$B23,flu_group[season],"2024-2025",flu_group[trust_short],$M$18))</f>
        <v/>
      </c>
      <c r="H23" s="7" t="str">
        <f t="shared" si="10"/>
        <v/>
      </c>
      <c r="I23" s="2" t="str">
        <f t="shared" si="11"/>
        <v/>
      </c>
      <c r="K23" s="2">
        <v>3</v>
      </c>
      <c r="M23" s="5" t="str">
        <f t="shared" si="12"/>
        <v/>
      </c>
      <c r="N23" s="5" t="str">
        <f t="shared" si="13"/>
        <v/>
      </c>
      <c r="O23" s="5" t="str">
        <f t="shared" si="14"/>
        <v/>
      </c>
      <c r="P23" s="7" t="str">
        <f t="shared" si="15"/>
        <v/>
      </c>
      <c r="Q23" s="6" t="str">
        <f t="shared" si="16"/>
        <v/>
      </c>
      <c r="R23" s="7" t="str">
        <f t="shared" si="17"/>
        <v/>
      </c>
      <c r="S23" s="7" t="str">
        <f t="shared" si="18"/>
        <v/>
      </c>
      <c r="U23" s="30" t="str">
        <f t="shared" si="19"/>
        <v/>
      </c>
      <c r="V23" s="28" t="str">
        <f t="shared" si="20"/>
        <v/>
      </c>
      <c r="AM23"/>
    </row>
    <row r="24" spans="2:39" x14ac:dyDescent="0.35">
      <c r="B24" s="5" t="s">
        <v>60</v>
      </c>
      <c r="C24" s="6" t="str">
        <f>IF($M$18="&lt;Please Select&gt;","",SUMIFS(flu_group[flhcw],flu_group[staff_group],$B24,flu_group[season],"2025-2026",flu_group[trust_short],$M$18))</f>
        <v/>
      </c>
      <c r="D24" s="6" t="str">
        <f>IF($M$18="&lt;Please Select&gt;","",SUMIFS(flu_group[vve],flu_group[staff_group],$B24,flu_group[season],"2025-2026",flu_group[trust_short],$M$18))</f>
        <v/>
      </c>
      <c r="E24" s="7" t="str">
        <f t="shared" si="8"/>
        <v/>
      </c>
      <c r="F24" s="6" t="str">
        <f t="shared" si="9"/>
        <v/>
      </c>
      <c r="G24" s="7" t="str">
        <f>IF($M$18="&lt;Please Select&gt;","",SUMIFS(flu_group[vve],flu_group[staff_group],$B24,flu_group[season],"2024-2025",flu_group[trust_short],$M$18)/SUMIFS(flu_group[flhcw],flu_group[staff_group],$B24,flu_group[season],"2024-2025",flu_group[trust_short],$M$18))</f>
        <v/>
      </c>
      <c r="H24" s="7" t="str">
        <f t="shared" si="10"/>
        <v/>
      </c>
      <c r="I24" s="2" t="str">
        <f t="shared" si="11"/>
        <v/>
      </c>
      <c r="K24" s="2">
        <v>4</v>
      </c>
      <c r="M24" s="5" t="str">
        <f t="shared" si="12"/>
        <v/>
      </c>
      <c r="N24" s="5" t="str">
        <f t="shared" si="13"/>
        <v/>
      </c>
      <c r="O24" s="5" t="str">
        <f t="shared" si="14"/>
        <v/>
      </c>
      <c r="P24" s="7" t="str">
        <f t="shared" si="15"/>
        <v/>
      </c>
      <c r="Q24" s="6" t="str">
        <f t="shared" si="16"/>
        <v/>
      </c>
      <c r="R24" s="7" t="str">
        <f t="shared" si="17"/>
        <v/>
      </c>
      <c r="S24" s="7" t="str">
        <f t="shared" si="18"/>
        <v/>
      </c>
      <c r="U24" s="30" t="str">
        <f t="shared" si="19"/>
        <v/>
      </c>
      <c r="V24" s="28" t="str">
        <f t="shared" si="20"/>
        <v/>
      </c>
      <c r="AM24"/>
    </row>
    <row r="25" spans="2:39" x14ac:dyDescent="0.35">
      <c r="B25" s="5" t="s">
        <v>28</v>
      </c>
      <c r="C25" s="6" t="str">
        <f>IF($M$18="&lt;Please Select&gt;","",SUMIFS(flu_group[flhcw],flu_group[staff_group],$B25,flu_group[season],"2025-2026",flu_group[trust_short],$M$18))</f>
        <v/>
      </c>
      <c r="D25" s="6" t="str">
        <f>IF($M$18="&lt;Please Select&gt;","",SUMIFS(flu_group[vve],flu_group[staff_group],$B25,flu_group[season],"2025-2026",flu_group[trust_short],$M$18))</f>
        <v/>
      </c>
      <c r="E25" s="7" t="str">
        <f t="shared" si="8"/>
        <v/>
      </c>
      <c r="F25" s="6" t="str">
        <f t="shared" si="9"/>
        <v/>
      </c>
      <c r="G25" s="7" t="str">
        <f>IF($M$18="&lt;Please Select&gt;","",SUMIFS(flu_group[vve],flu_group[staff_group],$B25,flu_group[season],"2024-2025",flu_group[trust_short],$M$18)/SUMIFS(flu_group[flhcw],flu_group[staff_group],$B25,flu_group[season],"2024-2025",flu_group[trust_short],$M$18))</f>
        <v/>
      </c>
      <c r="H25" s="7" t="str">
        <f t="shared" si="10"/>
        <v/>
      </c>
      <c r="I25" s="2" t="str">
        <f t="shared" si="11"/>
        <v/>
      </c>
      <c r="K25" s="2">
        <v>5</v>
      </c>
      <c r="M25" s="5" t="str">
        <f t="shared" si="12"/>
        <v/>
      </c>
      <c r="N25" s="5" t="str">
        <f t="shared" si="13"/>
        <v/>
      </c>
      <c r="O25" s="5" t="str">
        <f t="shared" si="14"/>
        <v/>
      </c>
      <c r="P25" s="7" t="str">
        <f t="shared" si="15"/>
        <v/>
      </c>
      <c r="Q25" s="6" t="str">
        <f t="shared" si="16"/>
        <v/>
      </c>
      <c r="R25" s="7" t="str">
        <f t="shared" si="17"/>
        <v/>
      </c>
      <c r="S25" s="7" t="str">
        <f t="shared" si="18"/>
        <v/>
      </c>
      <c r="U25" s="30" t="str">
        <f t="shared" si="19"/>
        <v/>
      </c>
      <c r="V25" s="28" t="str">
        <f t="shared" si="20"/>
        <v/>
      </c>
      <c r="AM25"/>
    </row>
    <row r="26" spans="2:39" x14ac:dyDescent="0.35">
      <c r="B26" s="5" t="s">
        <v>74</v>
      </c>
      <c r="C26" s="6" t="str">
        <f>IF($M$18="&lt;Please Select&gt;","",SUMIFS(flu_group[flhcw],flu_group[staff_group],$B26,flu_group[season],"2025-2026",flu_group[trust_short],$M$18))</f>
        <v/>
      </c>
      <c r="D26" s="6" t="str">
        <f>IF($M$18="&lt;Please Select&gt;","",SUMIFS(flu_group[vve],flu_group[staff_group],$B26,flu_group[season],"2025-2026",flu_group[trust_short],$M$18))</f>
        <v/>
      </c>
      <c r="E26" s="7" t="str">
        <f t="shared" si="8"/>
        <v/>
      </c>
      <c r="F26" s="6" t="str">
        <f t="shared" si="9"/>
        <v/>
      </c>
      <c r="G26" s="7" t="str">
        <f>IF($M$18="&lt;Please Select&gt;","",SUMIFS(flu_group[vve],flu_group[staff_group],$B26,flu_group[season],"2024-2025",flu_group[trust_short],$M$18)/SUMIFS(flu_group[flhcw],flu_group[staff_group],$B26,flu_group[season],"2024-2025",flu_group[trust_short],$M$18))</f>
        <v/>
      </c>
      <c r="H26" s="7" t="str">
        <f t="shared" si="10"/>
        <v/>
      </c>
      <c r="I26" s="2" t="str">
        <f t="shared" si="11"/>
        <v/>
      </c>
      <c r="K26" s="2">
        <v>6</v>
      </c>
      <c r="M26" s="5" t="str">
        <f t="shared" si="12"/>
        <v/>
      </c>
      <c r="N26" s="5" t="str">
        <f t="shared" si="13"/>
        <v/>
      </c>
      <c r="O26" s="5" t="str">
        <f t="shared" si="14"/>
        <v/>
      </c>
      <c r="P26" s="7" t="str">
        <f t="shared" si="15"/>
        <v/>
      </c>
      <c r="Q26" s="6" t="str">
        <f t="shared" si="16"/>
        <v/>
      </c>
      <c r="R26" s="7" t="str">
        <f t="shared" si="17"/>
        <v/>
      </c>
      <c r="S26" s="7" t="str">
        <f t="shared" si="18"/>
        <v/>
      </c>
      <c r="U26" s="30" t="str">
        <f t="shared" si="19"/>
        <v/>
      </c>
      <c r="V26" s="28" t="str">
        <f t="shared" si="20"/>
        <v/>
      </c>
      <c r="AM26"/>
    </row>
    <row r="27" spans="2:39" x14ac:dyDescent="0.35">
      <c r="B27" s="5" t="s">
        <v>42</v>
      </c>
      <c r="C27" s="6" t="str">
        <f>IF($M$18="&lt;Please Select&gt;","",SUMIFS(flu_group[flhcw],flu_group[staff_group],$B27,flu_group[season],"2025-2026",flu_group[trust_short],$M$18))</f>
        <v/>
      </c>
      <c r="D27" s="6" t="str">
        <f>IF($M$18="&lt;Please Select&gt;","",SUMIFS(flu_group[vve],flu_group[staff_group],$B27,flu_group[season],"2025-2026",flu_group[trust_short],$M$18))</f>
        <v/>
      </c>
      <c r="E27" s="7" t="str">
        <f t="shared" si="8"/>
        <v/>
      </c>
      <c r="F27" s="6" t="str">
        <f t="shared" si="9"/>
        <v/>
      </c>
      <c r="G27" s="7" t="str">
        <f>IF($M$18="&lt;Please Select&gt;","",SUMIFS(flu_group[vve],flu_group[staff_group],$B27,flu_group[season],"2024-2025",flu_group[trust_short],$M$18)/SUMIFS(flu_group[flhcw],flu_group[staff_group],$B27,flu_group[season],"2024-2025",flu_group[trust_short],$M$18))</f>
        <v/>
      </c>
      <c r="H27" s="7" t="str">
        <f t="shared" si="10"/>
        <v/>
      </c>
      <c r="I27" s="2" t="str">
        <f t="shared" si="11"/>
        <v/>
      </c>
      <c r="K27" s="2">
        <v>7</v>
      </c>
      <c r="M27" s="5" t="str">
        <f t="shared" si="12"/>
        <v/>
      </c>
      <c r="N27" s="5" t="str">
        <f t="shared" si="13"/>
        <v/>
      </c>
      <c r="O27" s="5" t="str">
        <f t="shared" si="14"/>
        <v/>
      </c>
      <c r="P27" s="7" t="str">
        <f t="shared" si="15"/>
        <v/>
      </c>
      <c r="Q27" s="6" t="str">
        <f t="shared" si="16"/>
        <v/>
      </c>
      <c r="R27" s="7" t="str">
        <f t="shared" si="17"/>
        <v/>
      </c>
      <c r="S27" s="7" t="str">
        <f t="shared" si="18"/>
        <v/>
      </c>
      <c r="U27" s="30" t="str">
        <f t="shared" si="19"/>
        <v/>
      </c>
      <c r="V27" s="28" t="str">
        <f t="shared" si="20"/>
        <v/>
      </c>
      <c r="AM27"/>
    </row>
    <row r="28" spans="2:39" x14ac:dyDescent="0.35">
      <c r="B28" s="5" t="s">
        <v>53</v>
      </c>
      <c r="C28" s="6" t="str">
        <f>IF($M$18="&lt;Please Select&gt;","",SUMIFS(flu_group[flhcw],flu_group[staff_group],$B28,flu_group[season],"2025-2026",flu_group[trust_short],$M$18))</f>
        <v/>
      </c>
      <c r="D28" s="6" t="str">
        <f>IF($M$18="&lt;Please Select&gt;","",SUMIFS(flu_group[vve],flu_group[staff_group],$B28,flu_group[season],"2025-2026",flu_group[trust_short],$M$18))</f>
        <v/>
      </c>
      <c r="E28" s="7" t="str">
        <f t="shared" si="8"/>
        <v/>
      </c>
      <c r="F28" s="6" t="str">
        <f t="shared" si="9"/>
        <v/>
      </c>
      <c r="G28" s="7" t="str">
        <f>IF($M$18="&lt;Please Select&gt;","",SUMIFS(flu_group[vve],flu_group[staff_group],$B28,flu_group[season],"2024-2025",flu_group[trust_short],$M$18)/SUMIFS(flu_group[flhcw],flu_group[staff_group],$B28,flu_group[season],"2024-2025",flu_group[trust_short],$M$18))</f>
        <v/>
      </c>
      <c r="H28" s="7" t="str">
        <f t="shared" si="10"/>
        <v/>
      </c>
      <c r="I28" s="2" t="str">
        <f t="shared" si="11"/>
        <v/>
      </c>
      <c r="K28" s="2">
        <v>8</v>
      </c>
      <c r="M28" s="5" t="str">
        <f t="shared" si="12"/>
        <v/>
      </c>
      <c r="N28" s="5" t="str">
        <f t="shared" si="13"/>
        <v/>
      </c>
      <c r="O28" s="5" t="str">
        <f t="shared" si="14"/>
        <v/>
      </c>
      <c r="P28" s="7" t="str">
        <f t="shared" si="15"/>
        <v/>
      </c>
      <c r="Q28" s="6" t="str">
        <f t="shared" si="16"/>
        <v/>
      </c>
      <c r="R28" s="7" t="str">
        <f t="shared" si="17"/>
        <v/>
      </c>
      <c r="S28" s="7" t="str">
        <f t="shared" si="18"/>
        <v/>
      </c>
      <c r="U28" s="30" t="str">
        <f t="shared" si="19"/>
        <v/>
      </c>
      <c r="V28" s="28" t="str">
        <f t="shared" si="20"/>
        <v/>
      </c>
      <c r="AM28"/>
    </row>
    <row r="29" spans="2:39" x14ac:dyDescent="0.35">
      <c r="B29" s="5" t="s">
        <v>35</v>
      </c>
      <c r="C29" s="6" t="str">
        <f>IF($M$18="&lt;Please Select&gt;","",SUMIFS(flu_group[flhcw],flu_group[staff_group],$B29,flu_group[season],"2025-2026",flu_group[trust_short],$M$18))</f>
        <v/>
      </c>
      <c r="D29" s="6" t="str">
        <f>IF($M$18="&lt;Please Select&gt;","",SUMIFS(flu_group[vve],flu_group[staff_group],$B29,flu_group[season],"2025-2026",flu_group[trust_short],$M$18))</f>
        <v/>
      </c>
      <c r="E29" s="7" t="str">
        <f t="shared" si="8"/>
        <v/>
      </c>
      <c r="F29" s="6" t="str">
        <f t="shared" si="9"/>
        <v/>
      </c>
      <c r="G29" s="7" t="str">
        <f>IF($M$18="&lt;Please Select&gt;","",SUMIFS(flu_group[vve],flu_group[staff_group],$B29,flu_group[season],"2024-2025",flu_group[trust_short],$M$18)/SUMIFS(flu_group[flhcw],flu_group[staff_group],$B29,flu_group[season],"2024-2025",flu_group[trust_short],$M$18))</f>
        <v/>
      </c>
      <c r="H29" s="7" t="str">
        <f t="shared" si="10"/>
        <v/>
      </c>
      <c r="I29" s="2" t="str">
        <f t="shared" si="11"/>
        <v/>
      </c>
      <c r="K29" s="2">
        <v>9</v>
      </c>
      <c r="M29" s="5" t="str">
        <f t="shared" si="12"/>
        <v/>
      </c>
      <c r="N29" s="5" t="str">
        <f t="shared" si="13"/>
        <v/>
      </c>
      <c r="O29" s="5" t="str">
        <f t="shared" si="14"/>
        <v/>
      </c>
      <c r="P29" s="7" t="str">
        <f t="shared" si="15"/>
        <v/>
      </c>
      <c r="Q29" s="6" t="str">
        <f t="shared" si="16"/>
        <v/>
      </c>
      <c r="R29" s="7" t="str">
        <f t="shared" si="17"/>
        <v/>
      </c>
      <c r="S29" s="7" t="str">
        <f t="shared" si="18"/>
        <v/>
      </c>
      <c r="U29" s="30" t="str">
        <f t="shared" si="19"/>
        <v/>
      </c>
      <c r="V29" s="28" t="str">
        <f t="shared" si="20"/>
        <v/>
      </c>
      <c r="AM29"/>
    </row>
    <row r="30" spans="2:39" x14ac:dyDescent="0.35">
      <c r="AM30"/>
    </row>
    <row r="31" spans="2:39" x14ac:dyDescent="0.35">
      <c r="AM31"/>
    </row>
    <row r="32" spans="2:39" x14ac:dyDescent="0.35">
      <c r="AM32"/>
    </row>
    <row r="33" spans="39:39" x14ac:dyDescent="0.35">
      <c r="AM33"/>
    </row>
    <row r="34" spans="39:39" x14ac:dyDescent="0.35">
      <c r="AM34"/>
    </row>
    <row r="35" spans="39:39" x14ac:dyDescent="0.35">
      <c r="AM35"/>
    </row>
    <row r="36" spans="39:39" x14ac:dyDescent="0.35">
      <c r="AM36"/>
    </row>
    <row r="37" spans="39:39" x14ac:dyDescent="0.35">
      <c r="AM37"/>
    </row>
    <row r="38" spans="39:39" x14ac:dyDescent="0.35">
      <c r="AM38"/>
    </row>
    <row r="39" spans="39:39" x14ac:dyDescent="0.35">
      <c r="AM39"/>
    </row>
    <row r="40" spans="39:39" x14ac:dyDescent="0.35">
      <c r="AM40"/>
    </row>
    <row r="41" spans="39:39" x14ac:dyDescent="0.35">
      <c r="AM41"/>
    </row>
    <row r="42" spans="39:39" x14ac:dyDescent="0.35">
      <c r="AM42"/>
    </row>
    <row r="43" spans="39:39" x14ac:dyDescent="0.35">
      <c r="AM43"/>
    </row>
    <row r="44" spans="39:39" x14ac:dyDescent="0.35">
      <c r="AM44"/>
    </row>
    <row r="45" spans="39:39" x14ac:dyDescent="0.35">
      <c r="AM45"/>
    </row>
    <row r="46" spans="39:39" x14ac:dyDescent="0.35">
      <c r="AM46"/>
    </row>
    <row r="47" spans="39:39" x14ac:dyDescent="0.35">
      <c r="AM47"/>
    </row>
    <row r="48" spans="39:39" x14ac:dyDescent="0.35">
      <c r="AM48"/>
    </row>
    <row r="49" spans="39:39" x14ac:dyDescent="0.35">
      <c r="AM49"/>
    </row>
    <row r="50" spans="39:39" x14ac:dyDescent="0.35">
      <c r="AM50"/>
    </row>
    <row r="51" spans="39:39" x14ac:dyDescent="0.35">
      <c r="AM51"/>
    </row>
    <row r="52" spans="39:39" x14ac:dyDescent="0.35">
      <c r="AM52"/>
    </row>
    <row r="53" spans="39:39" x14ac:dyDescent="0.35">
      <c r="AM53"/>
    </row>
    <row r="54" spans="39:39" x14ac:dyDescent="0.35">
      <c r="AM54"/>
    </row>
    <row r="55" spans="39:39" x14ac:dyDescent="0.35">
      <c r="AM55"/>
    </row>
    <row r="56" spans="39:39" x14ac:dyDescent="0.35">
      <c r="AM56"/>
    </row>
    <row r="57" spans="39:39" x14ac:dyDescent="0.35">
      <c r="AM57"/>
    </row>
    <row r="58" spans="39:39" x14ac:dyDescent="0.35">
      <c r="AM58"/>
    </row>
    <row r="59" spans="39:39" x14ac:dyDescent="0.35">
      <c r="AM59"/>
    </row>
    <row r="60" spans="39:39" x14ac:dyDescent="0.35">
      <c r="AM60"/>
    </row>
    <row r="61" spans="39:39" x14ac:dyDescent="0.35">
      <c r="AM61"/>
    </row>
    <row r="62" spans="39:39" x14ac:dyDescent="0.35">
      <c r="AM62"/>
    </row>
    <row r="63" spans="39:39" x14ac:dyDescent="0.35">
      <c r="AM63"/>
    </row>
    <row r="64" spans="39:39" x14ac:dyDescent="0.35">
      <c r="AM64"/>
    </row>
    <row r="65" spans="39:39" x14ac:dyDescent="0.35">
      <c r="AM65"/>
    </row>
    <row r="66" spans="39:39" x14ac:dyDescent="0.35">
      <c r="AM66"/>
    </row>
    <row r="67" spans="39:39" x14ac:dyDescent="0.35">
      <c r="AM67"/>
    </row>
    <row r="68" spans="39:39" x14ac:dyDescent="0.35">
      <c r="AM68"/>
    </row>
    <row r="69" spans="39:39" x14ac:dyDescent="0.35">
      <c r="AM69"/>
    </row>
    <row r="70" spans="39:39" x14ac:dyDescent="0.35">
      <c r="AM70"/>
    </row>
    <row r="71" spans="39:39" x14ac:dyDescent="0.35">
      <c r="AM71"/>
    </row>
    <row r="72" spans="39:39" x14ac:dyDescent="0.35">
      <c r="AM72"/>
    </row>
    <row r="73" spans="39:39" x14ac:dyDescent="0.35">
      <c r="AM73"/>
    </row>
    <row r="74" spans="39:39" x14ac:dyDescent="0.35">
      <c r="AM74"/>
    </row>
    <row r="75" spans="39:39" x14ac:dyDescent="0.35">
      <c r="AM75"/>
    </row>
    <row r="76" spans="39:39" x14ac:dyDescent="0.35">
      <c r="AM76"/>
    </row>
    <row r="77" spans="39:39" x14ac:dyDescent="0.35">
      <c r="AM77"/>
    </row>
    <row r="78" spans="39:39" x14ac:dyDescent="0.35">
      <c r="AM78"/>
    </row>
    <row r="79" spans="39:39" x14ac:dyDescent="0.35">
      <c r="AM79"/>
    </row>
    <row r="80" spans="39:39" x14ac:dyDescent="0.35">
      <c r="AM80"/>
    </row>
    <row r="81" spans="39:39" x14ac:dyDescent="0.35">
      <c r="AM81"/>
    </row>
    <row r="82" spans="39:39" x14ac:dyDescent="0.35">
      <c r="AM82"/>
    </row>
    <row r="83" spans="39:39" x14ac:dyDescent="0.35">
      <c r="AM83"/>
    </row>
    <row r="84" spans="39:39" x14ac:dyDescent="0.35">
      <c r="AM84"/>
    </row>
    <row r="85" spans="39:39" x14ac:dyDescent="0.35">
      <c r="AM85"/>
    </row>
    <row r="86" spans="39:39" x14ac:dyDescent="0.35">
      <c r="AM86"/>
    </row>
    <row r="87" spans="39:39" x14ac:dyDescent="0.35">
      <c r="AM87"/>
    </row>
    <row r="88" spans="39:39" x14ac:dyDescent="0.35">
      <c r="AM88"/>
    </row>
    <row r="89" spans="39:39" x14ac:dyDescent="0.35">
      <c r="AM89"/>
    </row>
    <row r="90" spans="39:39" x14ac:dyDescent="0.35">
      <c r="AM90"/>
    </row>
    <row r="91" spans="39:39" x14ac:dyDescent="0.35">
      <c r="AM91"/>
    </row>
    <row r="92" spans="39:39" x14ac:dyDescent="0.35">
      <c r="AM92"/>
    </row>
    <row r="93" spans="39:39" x14ac:dyDescent="0.35">
      <c r="AM93"/>
    </row>
    <row r="94" spans="39:39" x14ac:dyDescent="0.35">
      <c r="AM94"/>
    </row>
    <row r="95" spans="39:39" x14ac:dyDescent="0.35">
      <c r="AM95"/>
    </row>
    <row r="96" spans="39:39" x14ac:dyDescent="0.35">
      <c r="AM96"/>
    </row>
    <row r="97" spans="39:39" x14ac:dyDescent="0.35">
      <c r="AM97"/>
    </row>
    <row r="98" spans="39:39" x14ac:dyDescent="0.35">
      <c r="AM98"/>
    </row>
    <row r="99" spans="39:39" x14ac:dyDescent="0.35">
      <c r="AM99"/>
    </row>
    <row r="100" spans="39:39" x14ac:dyDescent="0.35">
      <c r="AM100"/>
    </row>
    <row r="101" spans="39:39" x14ac:dyDescent="0.35">
      <c r="AM101"/>
    </row>
    <row r="102" spans="39:39" x14ac:dyDescent="0.35">
      <c r="AM102"/>
    </row>
    <row r="103" spans="39:39" x14ac:dyDescent="0.35">
      <c r="AM103"/>
    </row>
    <row r="104" spans="39:39" x14ac:dyDescent="0.35">
      <c r="AM104"/>
    </row>
    <row r="105" spans="39:39" x14ac:dyDescent="0.35">
      <c r="AM105"/>
    </row>
    <row r="106" spans="39:39" x14ac:dyDescent="0.35">
      <c r="AM106"/>
    </row>
    <row r="107" spans="39:39" x14ac:dyDescent="0.35">
      <c r="AM107"/>
    </row>
    <row r="108" spans="39:39" x14ac:dyDescent="0.35">
      <c r="AM108"/>
    </row>
    <row r="109" spans="39:39" x14ac:dyDescent="0.35">
      <c r="AM109"/>
    </row>
    <row r="110" spans="39:39" x14ac:dyDescent="0.35">
      <c r="AM110"/>
    </row>
    <row r="111" spans="39:39" x14ac:dyDescent="0.35">
      <c r="AM111"/>
    </row>
    <row r="112" spans="39:39" x14ac:dyDescent="0.35">
      <c r="AM112"/>
    </row>
    <row r="113" spans="39:39" x14ac:dyDescent="0.35">
      <c r="AM113"/>
    </row>
    <row r="114" spans="39:39" x14ac:dyDescent="0.35">
      <c r="AM114"/>
    </row>
    <row r="115" spans="39:39" x14ac:dyDescent="0.35">
      <c r="AM115"/>
    </row>
    <row r="116" spans="39:39" x14ac:dyDescent="0.35">
      <c r="AM116"/>
    </row>
    <row r="117" spans="39:39" x14ac:dyDescent="0.35">
      <c r="AM117"/>
    </row>
    <row r="118" spans="39:39" x14ac:dyDescent="0.35">
      <c r="AM118"/>
    </row>
    <row r="119" spans="39:39" x14ac:dyDescent="0.35">
      <c r="AM119"/>
    </row>
    <row r="120" spans="39:39" x14ac:dyDescent="0.35">
      <c r="AM120"/>
    </row>
    <row r="121" spans="39:39" x14ac:dyDescent="0.35">
      <c r="AM121"/>
    </row>
    <row r="122" spans="39:39" x14ac:dyDescent="0.35">
      <c r="AM122"/>
    </row>
    <row r="123" spans="39:39" x14ac:dyDescent="0.35">
      <c r="AM123"/>
    </row>
    <row r="124" spans="39:39" x14ac:dyDescent="0.35">
      <c r="AM124"/>
    </row>
    <row r="125" spans="39:39" x14ac:dyDescent="0.35">
      <c r="AM125"/>
    </row>
    <row r="126" spans="39:39" x14ac:dyDescent="0.35">
      <c r="AM126"/>
    </row>
    <row r="127" spans="39:39" x14ac:dyDescent="0.35">
      <c r="AM127"/>
    </row>
    <row r="128" spans="39:39" x14ac:dyDescent="0.35">
      <c r="AM128"/>
    </row>
    <row r="129" spans="39:39" x14ac:dyDescent="0.35">
      <c r="AM129"/>
    </row>
    <row r="130" spans="39:39" x14ac:dyDescent="0.35">
      <c r="AM130"/>
    </row>
    <row r="131" spans="39:39" x14ac:dyDescent="0.35">
      <c r="AM131"/>
    </row>
    <row r="132" spans="39:39" x14ac:dyDescent="0.35">
      <c r="AM132"/>
    </row>
    <row r="133" spans="39:39" x14ac:dyDescent="0.35">
      <c r="AM133"/>
    </row>
    <row r="134" spans="39:39" x14ac:dyDescent="0.35">
      <c r="AM134"/>
    </row>
    <row r="135" spans="39:39" x14ac:dyDescent="0.35">
      <c r="AM135"/>
    </row>
    <row r="136" spans="39:39" x14ac:dyDescent="0.35">
      <c r="AM136"/>
    </row>
    <row r="137" spans="39:39" x14ac:dyDescent="0.35">
      <c r="AM137"/>
    </row>
    <row r="138" spans="39:39" x14ac:dyDescent="0.35">
      <c r="AM138"/>
    </row>
    <row r="139" spans="39:39" x14ac:dyDescent="0.35">
      <c r="AM139"/>
    </row>
    <row r="140" spans="39:39" x14ac:dyDescent="0.35">
      <c r="AM140"/>
    </row>
    <row r="141" spans="39:39" x14ac:dyDescent="0.35">
      <c r="AM141"/>
    </row>
    <row r="142" spans="39:39" x14ac:dyDescent="0.35">
      <c r="AM142"/>
    </row>
    <row r="143" spans="39:39" x14ac:dyDescent="0.35">
      <c r="AM143"/>
    </row>
    <row r="144" spans="39:39" x14ac:dyDescent="0.35">
      <c r="AM144"/>
    </row>
    <row r="145" spans="39:39" x14ac:dyDescent="0.35">
      <c r="AM145"/>
    </row>
    <row r="146" spans="39:39" x14ac:dyDescent="0.35">
      <c r="AM146"/>
    </row>
    <row r="147" spans="39:39" x14ac:dyDescent="0.35">
      <c r="AM147"/>
    </row>
    <row r="148" spans="39:39" x14ac:dyDescent="0.35">
      <c r="AM148"/>
    </row>
    <row r="149" spans="39:39" x14ac:dyDescent="0.35">
      <c r="AM149"/>
    </row>
    <row r="150" spans="39:39" x14ac:dyDescent="0.35">
      <c r="AM150"/>
    </row>
    <row r="151" spans="39:39" x14ac:dyDescent="0.35">
      <c r="AM151"/>
    </row>
    <row r="152" spans="39:39" x14ac:dyDescent="0.35">
      <c r="AM152"/>
    </row>
    <row r="153" spans="39:39" x14ac:dyDescent="0.35">
      <c r="AM153"/>
    </row>
    <row r="154" spans="39:39" x14ac:dyDescent="0.35">
      <c r="AM154"/>
    </row>
    <row r="155" spans="39:39" x14ac:dyDescent="0.35">
      <c r="AM155"/>
    </row>
    <row r="156" spans="39:39" x14ac:dyDescent="0.35">
      <c r="AM156"/>
    </row>
    <row r="157" spans="39:39" x14ac:dyDescent="0.35">
      <c r="AM157"/>
    </row>
    <row r="158" spans="39:39" x14ac:dyDescent="0.35">
      <c r="AM158"/>
    </row>
    <row r="159" spans="39:39" x14ac:dyDescent="0.35">
      <c r="AM159"/>
    </row>
    <row r="160" spans="39:39" x14ac:dyDescent="0.35">
      <c r="AM160"/>
    </row>
    <row r="161" spans="39:39" x14ac:dyDescent="0.35">
      <c r="AM161"/>
    </row>
    <row r="162" spans="39:39" x14ac:dyDescent="0.35">
      <c r="AM162"/>
    </row>
    <row r="163" spans="39:39" x14ac:dyDescent="0.35">
      <c r="AM163"/>
    </row>
    <row r="164" spans="39:39" x14ac:dyDescent="0.35">
      <c r="AM164"/>
    </row>
    <row r="165" spans="39:39" x14ac:dyDescent="0.35">
      <c r="AM165"/>
    </row>
    <row r="166" spans="39:39" x14ac:dyDescent="0.35">
      <c r="AM166"/>
    </row>
    <row r="167" spans="39:39" x14ac:dyDescent="0.35">
      <c r="AM167"/>
    </row>
    <row r="168" spans="39:39" x14ac:dyDescent="0.35">
      <c r="AM168"/>
    </row>
    <row r="169" spans="39:39" x14ac:dyDescent="0.35">
      <c r="AM169"/>
    </row>
    <row r="170" spans="39:39" x14ac:dyDescent="0.35">
      <c r="AM170"/>
    </row>
    <row r="171" spans="39:39" x14ac:dyDescent="0.35">
      <c r="AM171"/>
    </row>
    <row r="172" spans="39:39" x14ac:dyDescent="0.35">
      <c r="AM172"/>
    </row>
    <row r="173" spans="39:39" x14ac:dyDescent="0.35">
      <c r="AM173"/>
    </row>
    <row r="174" spans="39:39" x14ac:dyDescent="0.35">
      <c r="AM174"/>
    </row>
    <row r="175" spans="39:39" x14ac:dyDescent="0.35">
      <c r="AM175"/>
    </row>
    <row r="176" spans="39:39" x14ac:dyDescent="0.35">
      <c r="AM176"/>
    </row>
    <row r="177" spans="39:39" x14ac:dyDescent="0.35">
      <c r="AM177"/>
    </row>
    <row r="178" spans="39:39" x14ac:dyDescent="0.35">
      <c r="AM178"/>
    </row>
    <row r="179" spans="39:39" x14ac:dyDescent="0.35">
      <c r="AM179"/>
    </row>
    <row r="180" spans="39:39" x14ac:dyDescent="0.35">
      <c r="AM180"/>
    </row>
    <row r="181" spans="39:39" x14ac:dyDescent="0.35">
      <c r="AM181"/>
    </row>
    <row r="182" spans="39:39" x14ac:dyDescent="0.35">
      <c r="AM182"/>
    </row>
    <row r="183" spans="39:39" x14ac:dyDescent="0.35">
      <c r="AM183"/>
    </row>
    <row r="184" spans="39:39" x14ac:dyDescent="0.35">
      <c r="AM184"/>
    </row>
    <row r="185" spans="39:39" x14ac:dyDescent="0.35">
      <c r="AM185"/>
    </row>
    <row r="186" spans="39:39" x14ac:dyDescent="0.35">
      <c r="AM186"/>
    </row>
    <row r="187" spans="39:39" x14ac:dyDescent="0.35">
      <c r="AM187"/>
    </row>
    <row r="188" spans="39:39" x14ac:dyDescent="0.35">
      <c r="AM188"/>
    </row>
    <row r="189" spans="39:39" x14ac:dyDescent="0.35">
      <c r="AM189"/>
    </row>
    <row r="190" spans="39:39" x14ac:dyDescent="0.35">
      <c r="AM190"/>
    </row>
    <row r="191" spans="39:39" x14ac:dyDescent="0.35">
      <c r="AM191"/>
    </row>
    <row r="192" spans="39:39" x14ac:dyDescent="0.35">
      <c r="AM192"/>
    </row>
    <row r="193" spans="39:39" x14ac:dyDescent="0.35">
      <c r="AM193"/>
    </row>
    <row r="194" spans="39:39" x14ac:dyDescent="0.35">
      <c r="AM194"/>
    </row>
    <row r="195" spans="39:39" x14ac:dyDescent="0.35">
      <c r="AM195"/>
    </row>
    <row r="196" spans="39:39" x14ac:dyDescent="0.35">
      <c r="AM196"/>
    </row>
    <row r="197" spans="39:39" x14ac:dyDescent="0.35">
      <c r="AM197"/>
    </row>
    <row r="198" spans="39:39" x14ac:dyDescent="0.35">
      <c r="AM198"/>
    </row>
    <row r="199" spans="39:39" x14ac:dyDescent="0.35">
      <c r="AM199"/>
    </row>
    <row r="200" spans="39:39" x14ac:dyDescent="0.35">
      <c r="AM200"/>
    </row>
    <row r="201" spans="39:39" x14ac:dyDescent="0.35">
      <c r="AM201"/>
    </row>
    <row r="202" spans="39:39" x14ac:dyDescent="0.35">
      <c r="AM202"/>
    </row>
    <row r="203" spans="39:39" x14ac:dyDescent="0.35">
      <c r="AM203"/>
    </row>
    <row r="204" spans="39:39" x14ac:dyDescent="0.35">
      <c r="AM204"/>
    </row>
    <row r="205" spans="39:39" x14ac:dyDescent="0.35">
      <c r="AM205"/>
    </row>
    <row r="206" spans="39:39" x14ac:dyDescent="0.35">
      <c r="AM206"/>
    </row>
    <row r="207" spans="39:39" x14ac:dyDescent="0.35">
      <c r="AM207"/>
    </row>
    <row r="208" spans="39:39" x14ac:dyDescent="0.35">
      <c r="AM208"/>
    </row>
    <row r="209" spans="39:39" x14ac:dyDescent="0.35">
      <c r="AM209"/>
    </row>
    <row r="210" spans="39:39" x14ac:dyDescent="0.35">
      <c r="AM210"/>
    </row>
    <row r="211" spans="39:39" x14ac:dyDescent="0.35">
      <c r="AM211"/>
    </row>
    <row r="212" spans="39:39" x14ac:dyDescent="0.35">
      <c r="AM212"/>
    </row>
    <row r="213" spans="39:39" x14ac:dyDescent="0.35">
      <c r="AM213"/>
    </row>
    <row r="214" spans="39:39" x14ac:dyDescent="0.35">
      <c r="AM214"/>
    </row>
    <row r="215" spans="39:39" x14ac:dyDescent="0.35">
      <c r="AM215"/>
    </row>
    <row r="216" spans="39:39" x14ac:dyDescent="0.35">
      <c r="AM216"/>
    </row>
    <row r="217" spans="39:39" x14ac:dyDescent="0.35">
      <c r="AM217"/>
    </row>
    <row r="218" spans="39:39" x14ac:dyDescent="0.35">
      <c r="AM218"/>
    </row>
    <row r="219" spans="39:39" x14ac:dyDescent="0.35">
      <c r="AM219"/>
    </row>
    <row r="220" spans="39:39" x14ac:dyDescent="0.35">
      <c r="AM220"/>
    </row>
    <row r="221" spans="39:39" x14ac:dyDescent="0.35">
      <c r="AM221"/>
    </row>
    <row r="222" spans="39:39" x14ac:dyDescent="0.35">
      <c r="AM222"/>
    </row>
    <row r="223" spans="39:39" x14ac:dyDescent="0.35">
      <c r="AM223"/>
    </row>
    <row r="224" spans="39:39" x14ac:dyDescent="0.35">
      <c r="AM224"/>
    </row>
    <row r="225" spans="39:39" x14ac:dyDescent="0.35">
      <c r="AM225"/>
    </row>
    <row r="226" spans="39:39" x14ac:dyDescent="0.35">
      <c r="AM226"/>
    </row>
    <row r="227" spans="39:39" x14ac:dyDescent="0.35">
      <c r="AM227"/>
    </row>
    <row r="228" spans="39:39" x14ac:dyDescent="0.35">
      <c r="AM228"/>
    </row>
    <row r="229" spans="39:39" x14ac:dyDescent="0.35">
      <c r="AM229"/>
    </row>
    <row r="230" spans="39:39" x14ac:dyDescent="0.35">
      <c r="AM230"/>
    </row>
    <row r="231" spans="39:39" x14ac:dyDescent="0.35">
      <c r="AM231"/>
    </row>
    <row r="232" spans="39:39" x14ac:dyDescent="0.35">
      <c r="AM232"/>
    </row>
    <row r="233" spans="39:39" x14ac:dyDescent="0.35">
      <c r="AM233"/>
    </row>
    <row r="234" spans="39:39" x14ac:dyDescent="0.35">
      <c r="AM234"/>
    </row>
    <row r="235" spans="39:39" x14ac:dyDescent="0.35">
      <c r="AM235"/>
    </row>
    <row r="236" spans="39:39" x14ac:dyDescent="0.35">
      <c r="AM236"/>
    </row>
    <row r="237" spans="39:39" x14ac:dyDescent="0.35">
      <c r="AM237"/>
    </row>
    <row r="238" spans="39:39" x14ac:dyDescent="0.35">
      <c r="AM238"/>
    </row>
    <row r="239" spans="39:39" x14ac:dyDescent="0.35">
      <c r="AM239"/>
    </row>
    <row r="240" spans="39:39" x14ac:dyDescent="0.35">
      <c r="AM240"/>
    </row>
    <row r="241" spans="39:39" x14ac:dyDescent="0.35">
      <c r="AM241"/>
    </row>
    <row r="242" spans="39:39" x14ac:dyDescent="0.35">
      <c r="AM242"/>
    </row>
    <row r="243" spans="39:39" x14ac:dyDescent="0.35">
      <c r="AM243"/>
    </row>
    <row r="244" spans="39:39" x14ac:dyDescent="0.35">
      <c r="AM244"/>
    </row>
    <row r="245" spans="39:39" x14ac:dyDescent="0.35">
      <c r="AM245"/>
    </row>
    <row r="246" spans="39:39" x14ac:dyDescent="0.35">
      <c r="AM246"/>
    </row>
    <row r="247" spans="39:39" x14ac:dyDescent="0.35">
      <c r="AM247"/>
    </row>
    <row r="248" spans="39:39" x14ac:dyDescent="0.35">
      <c r="AM248"/>
    </row>
    <row r="249" spans="39:39" x14ac:dyDescent="0.35">
      <c r="AM249"/>
    </row>
    <row r="250" spans="39:39" x14ac:dyDescent="0.35">
      <c r="AM250"/>
    </row>
    <row r="251" spans="39:39" x14ac:dyDescent="0.35">
      <c r="AM251"/>
    </row>
    <row r="252" spans="39:39" x14ac:dyDescent="0.35">
      <c r="AM252"/>
    </row>
    <row r="253" spans="39:39" x14ac:dyDescent="0.35">
      <c r="AM253"/>
    </row>
    <row r="254" spans="39:39" x14ac:dyDescent="0.35">
      <c r="AM254"/>
    </row>
    <row r="255" spans="39:39" x14ac:dyDescent="0.35">
      <c r="AM255"/>
    </row>
    <row r="256" spans="39:39" x14ac:dyDescent="0.35">
      <c r="AM256"/>
    </row>
    <row r="257" spans="39:39" x14ac:dyDescent="0.35">
      <c r="AM257"/>
    </row>
    <row r="258" spans="39:39" x14ac:dyDescent="0.35">
      <c r="AM258"/>
    </row>
    <row r="259" spans="39:39" x14ac:dyDescent="0.35">
      <c r="AM259"/>
    </row>
    <row r="260" spans="39:39" x14ac:dyDescent="0.35">
      <c r="AM260"/>
    </row>
    <row r="261" spans="39:39" x14ac:dyDescent="0.35">
      <c r="AM261"/>
    </row>
    <row r="262" spans="39:39" x14ac:dyDescent="0.35">
      <c r="AM262"/>
    </row>
    <row r="263" spans="39:39" x14ac:dyDescent="0.35">
      <c r="AM263"/>
    </row>
    <row r="264" spans="39:39" x14ac:dyDescent="0.35">
      <c r="AM264"/>
    </row>
    <row r="265" spans="39:39" x14ac:dyDescent="0.35">
      <c r="AM265"/>
    </row>
    <row r="266" spans="39:39" x14ac:dyDescent="0.35">
      <c r="AM266"/>
    </row>
  </sheetData>
  <conditionalFormatting sqref="E5:E13">
    <cfRule type="colorScale" priority="10">
      <colorScale>
        <cfvo type="min"/>
        <cfvo type="max"/>
        <color rgb="FFFFEF9C"/>
        <color rgb="FF63BE7B"/>
      </colorScale>
    </cfRule>
  </conditionalFormatting>
  <conditionalFormatting sqref="E21:E29">
    <cfRule type="colorScale" priority="4">
      <colorScale>
        <cfvo type="min"/>
        <cfvo type="max"/>
        <color rgb="FFFFEF9C"/>
        <color rgb="FF63BE7B"/>
      </colorScale>
    </cfRule>
  </conditionalFormatting>
  <conditionalFormatting sqref="G5:G13">
    <cfRule type="colorScale" priority="9">
      <colorScale>
        <cfvo type="min"/>
        <cfvo type="max"/>
        <color rgb="FFFFEF9C"/>
        <color rgb="FF63BE7B"/>
      </colorScale>
    </cfRule>
  </conditionalFormatting>
  <conditionalFormatting sqref="G21:G29">
    <cfRule type="colorScale" priority="3">
      <colorScale>
        <cfvo type="min"/>
        <cfvo type="max"/>
        <color rgb="FFFFEF9C"/>
        <color rgb="FF63BE7B"/>
      </colorScale>
    </cfRule>
  </conditionalFormatting>
  <conditionalFormatting sqref="P5:P13">
    <cfRule type="colorScale" priority="8">
      <colorScale>
        <cfvo type="min"/>
        <cfvo type="max"/>
        <color rgb="FFFFEF9C"/>
        <color rgb="FF63BE7B"/>
      </colorScale>
    </cfRule>
  </conditionalFormatting>
  <conditionalFormatting sqref="P21:P29">
    <cfRule type="colorScale" priority="2">
      <colorScale>
        <cfvo type="min"/>
        <cfvo type="max"/>
        <color rgb="FFFFEF9C"/>
        <color rgb="FF63BE7B"/>
      </colorScale>
    </cfRule>
  </conditionalFormatting>
  <conditionalFormatting sqref="R5:R13">
    <cfRule type="colorScale" priority="7">
      <colorScale>
        <cfvo type="min"/>
        <cfvo type="max"/>
        <color rgb="FFFFEF9C"/>
        <color rgb="FF63BE7B"/>
      </colorScale>
    </cfRule>
  </conditionalFormatting>
  <conditionalFormatting sqref="R21:R29">
    <cfRule type="colorScale" priority="1">
      <colorScale>
        <cfvo type="min"/>
        <cfvo type="max"/>
        <color rgb="FFFFEF9C"/>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090F4000-8136-4EC8-9B08-1B67B9B9C27A}">
          <x14:formula1>
            <xm:f>data1!$AM$4:$AM$36</xm:f>
          </x14:formula1>
          <xm:sqref>M18</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8AC5D0-A0EA-4B0A-B0B4-E5A272A7A225}">
  <sheetPr>
    <tabColor theme="8"/>
  </sheetPr>
  <dimension ref="A2:AG276"/>
  <sheetViews>
    <sheetView showGridLines="0" topLeftCell="I1" zoomScale="80" zoomScaleNormal="80" workbookViewId="0">
      <selection activeCell="S26" sqref="S26"/>
    </sheetView>
  </sheetViews>
  <sheetFormatPr defaultColWidth="8.81640625" defaultRowHeight="14.5" outlineLevelCol="1" x14ac:dyDescent="0.35"/>
  <cols>
    <col min="1" max="1" width="8.54296875" style="2" hidden="1" customWidth="1" outlineLevel="1"/>
    <col min="2" max="2" width="46.81640625" style="2" hidden="1" customWidth="1" outlineLevel="1"/>
    <col min="3" max="5" width="11.54296875" style="2" hidden="1" customWidth="1" outlineLevel="1"/>
    <col min="6" max="8" width="9.1796875" style="2" hidden="1" customWidth="1" outlineLevel="1"/>
    <col min="9" max="9" width="8.54296875" style="2" customWidth="1" collapsed="1"/>
    <col min="10" max="10" width="44.54296875" style="2" customWidth="1"/>
    <col min="11" max="13" width="11.54296875" style="2" customWidth="1"/>
    <col min="14" max="14" width="0.81640625" style="2" customWidth="1"/>
    <col min="15" max="16" width="11.54296875" style="2" customWidth="1"/>
    <col min="17" max="30" width="8.81640625" style="2"/>
    <col min="31" max="31" width="17.54296875" style="2" customWidth="1"/>
    <col min="32" max="16384" width="8.81640625" style="2"/>
  </cols>
  <sheetData>
    <row r="2" spans="2:27" ht="26" x14ac:dyDescent="0.6">
      <c r="J2" s="11" t="s">
        <v>644</v>
      </c>
    </row>
    <row r="4" spans="2:27" ht="43.5" x14ac:dyDescent="0.35">
      <c r="B4" s="4" t="s">
        <v>15</v>
      </c>
      <c r="C4" s="50" t="s">
        <v>606</v>
      </c>
      <c r="D4" s="50" t="s">
        <v>540</v>
      </c>
      <c r="E4" s="50" t="s">
        <v>541</v>
      </c>
      <c r="J4" s="4" t="s">
        <v>17</v>
      </c>
      <c r="K4" s="50" t="s">
        <v>606</v>
      </c>
      <c r="L4" s="50" t="s">
        <v>540</v>
      </c>
      <c r="M4" s="50" t="s">
        <v>541</v>
      </c>
      <c r="O4" s="47" t="s">
        <v>642</v>
      </c>
      <c r="P4" s="47" t="s">
        <v>643</v>
      </c>
      <c r="AA4"/>
    </row>
    <row r="5" spans="2:27" x14ac:dyDescent="0.35">
      <c r="B5" s="5" t="s">
        <v>68</v>
      </c>
      <c r="C5" s="6">
        <f>SUMIFS(flu_eth_ep[fl_staff],flu_eth_ep[Ethnicity],$B5)</f>
        <v>52650</v>
      </c>
      <c r="D5" s="6">
        <f>SUMIFS(flu_eth_ep[fl_doses],flu_eth_ep[Ethnicity],$B5)</f>
        <v>28462</v>
      </c>
      <c r="E5" s="7">
        <f>D5/C5</f>
        <v>0.54058879392212722</v>
      </c>
      <c r="F5" s="2">
        <f t="shared" ref="F5:F21" si="0">_xlfn.RANK.EQ(E5,$E$5:$E$21,0)</f>
        <v>1</v>
      </c>
      <c r="H5" s="2">
        <v>1</v>
      </c>
      <c r="J5" s="5" t="str">
        <f t="shared" ref="J5:J21" si="1">INDEX(B$5:B$21,MATCH($H5,$F$5:$F$21,0))</f>
        <v>A: White - British</v>
      </c>
      <c r="K5" s="6">
        <f t="shared" ref="K5:K21" si="2">INDEX(C$5:C$21,MATCH($H5,$F$5:$F$21,0))</f>
        <v>52650</v>
      </c>
      <c r="L5" s="6">
        <f t="shared" ref="L5:L21" si="3">INDEX(D$5:D$21,MATCH($H5,$F$5:$F$21,0))</f>
        <v>28462</v>
      </c>
      <c r="M5" s="7">
        <f t="shared" ref="M5:M21" si="4">INDEX(E$5:E$21,MATCH($H5,$F$5:$F$21,0))</f>
        <v>0.54058879392212722</v>
      </c>
      <c r="O5" s="30">
        <f t="shared" ref="O5" si="5">0.6-M5</f>
        <v>5.9411206077872758E-2</v>
      </c>
      <c r="P5" s="28">
        <f t="shared" ref="P5" si="6">(K5*0.6)-L5</f>
        <v>3128</v>
      </c>
      <c r="AA5"/>
    </row>
    <row r="6" spans="2:27" x14ac:dyDescent="0.35">
      <c r="B6" s="5" t="s">
        <v>135</v>
      </c>
      <c r="C6" s="6">
        <f>SUMIFS(flu_eth_ep[fl_staff],flu_eth_ep[Ethnicity],$B6)</f>
        <v>2932</v>
      </c>
      <c r="D6" s="6">
        <f>SUMIFS(flu_eth_ep[fl_doses],flu_eth_ep[Ethnicity],$B6)</f>
        <v>1522</v>
      </c>
      <c r="E6" s="7">
        <f t="shared" ref="E6:E21" si="7">D6/C6</f>
        <v>0.51909959072305589</v>
      </c>
      <c r="F6" s="2">
        <f t="shared" si="0"/>
        <v>2</v>
      </c>
      <c r="H6" s="2">
        <v>2</v>
      </c>
      <c r="J6" s="5" t="str">
        <f t="shared" si="1"/>
        <v>B: White - Irish</v>
      </c>
      <c r="K6" s="6">
        <f t="shared" si="2"/>
        <v>2932</v>
      </c>
      <c r="L6" s="6">
        <f t="shared" si="3"/>
        <v>1522</v>
      </c>
      <c r="M6" s="7">
        <f t="shared" si="4"/>
        <v>0.51909959072305589</v>
      </c>
      <c r="O6" s="30">
        <f t="shared" ref="O6:O21" si="8">0.6-M6</f>
        <v>8.0900409276944085E-2</v>
      </c>
      <c r="P6" s="28">
        <f t="shared" ref="P6:P21" si="9">(K6*0.6)-L6</f>
        <v>237.20000000000005</v>
      </c>
      <c r="AA6"/>
    </row>
    <row r="7" spans="2:27" x14ac:dyDescent="0.35">
      <c r="B7" s="5" t="s">
        <v>607</v>
      </c>
      <c r="C7" s="6">
        <f>SUMIFS(flu_eth_ep[fl_staff],flu_eth_ep[Ethnicity],$B7)</f>
        <v>20670</v>
      </c>
      <c r="D7" s="6">
        <f>SUMIFS(flu_eth_ep[fl_doses],flu_eth_ep[Ethnicity],$B7)</f>
        <v>8294</v>
      </c>
      <c r="E7" s="7">
        <f t="shared" si="7"/>
        <v>0.40125786163522015</v>
      </c>
      <c r="F7" s="2">
        <f t="shared" si="0"/>
        <v>6</v>
      </c>
      <c r="H7" s="2">
        <v>3</v>
      </c>
      <c r="J7" s="5" t="str">
        <f t="shared" si="1"/>
        <v>R: Other ethnic groups - Chinese</v>
      </c>
      <c r="K7" s="6">
        <f t="shared" si="2"/>
        <v>2693</v>
      </c>
      <c r="L7" s="6">
        <f t="shared" si="3"/>
        <v>1387</v>
      </c>
      <c r="M7" s="7">
        <f t="shared" si="4"/>
        <v>0.51503898997400666</v>
      </c>
      <c r="O7" s="30">
        <f t="shared" si="8"/>
        <v>8.4961010025993322E-2</v>
      </c>
      <c r="P7" s="28">
        <f t="shared" si="9"/>
        <v>228.79999999999995</v>
      </c>
      <c r="AA7"/>
    </row>
    <row r="8" spans="2:27" x14ac:dyDescent="0.35">
      <c r="B8" s="5" t="s">
        <v>129</v>
      </c>
      <c r="C8" s="6">
        <f>SUMIFS(flu_eth_ep[fl_staff],flu_eth_ep[Ethnicity],$B8)</f>
        <v>1262</v>
      </c>
      <c r="D8" s="6">
        <f>SUMIFS(flu_eth_ep[fl_doses],flu_eth_ep[Ethnicity],$B8)</f>
        <v>325</v>
      </c>
      <c r="E8" s="7">
        <f t="shared" si="7"/>
        <v>0.25752773375594296</v>
      </c>
      <c r="F8" s="2">
        <f t="shared" si="0"/>
        <v>14</v>
      </c>
      <c r="H8" s="2">
        <v>4</v>
      </c>
      <c r="J8" s="5" t="str">
        <f t="shared" si="1"/>
        <v>F: Mixed - White and Asian</v>
      </c>
      <c r="K8" s="6">
        <f t="shared" si="2"/>
        <v>1378</v>
      </c>
      <c r="L8" s="6">
        <f t="shared" si="3"/>
        <v>671</v>
      </c>
      <c r="M8" s="7">
        <f t="shared" si="4"/>
        <v>0.48693759071117559</v>
      </c>
      <c r="O8" s="30">
        <f t="shared" si="8"/>
        <v>0.11306240928882438</v>
      </c>
      <c r="P8" s="28">
        <f t="shared" si="9"/>
        <v>155.79999999999995</v>
      </c>
      <c r="AA8"/>
    </row>
    <row r="9" spans="2:27" x14ac:dyDescent="0.35">
      <c r="B9" s="5" t="s">
        <v>47</v>
      </c>
      <c r="C9" s="6">
        <f>SUMIFS(flu_eth_ep[fl_staff],flu_eth_ep[Ethnicity],$B9)</f>
        <v>2385</v>
      </c>
      <c r="D9" s="6">
        <f>SUMIFS(flu_eth_ep[fl_doses],flu_eth_ep[Ethnicity],$B9)</f>
        <v>621</v>
      </c>
      <c r="E9" s="7">
        <f t="shared" si="7"/>
        <v>0.26037735849056604</v>
      </c>
      <c r="F9" s="2">
        <f t="shared" si="0"/>
        <v>12</v>
      </c>
      <c r="H9" s="2">
        <v>5</v>
      </c>
      <c r="J9" s="5" t="str">
        <f t="shared" si="1"/>
        <v>L: Asian or Asian British - Any other Asian background</v>
      </c>
      <c r="K9" s="6">
        <f t="shared" si="2"/>
        <v>19216</v>
      </c>
      <c r="L9" s="6">
        <f t="shared" si="3"/>
        <v>8023</v>
      </c>
      <c r="M9" s="7">
        <f t="shared" si="4"/>
        <v>0.41751665278934219</v>
      </c>
      <c r="O9" s="30">
        <f t="shared" si="8"/>
        <v>0.18248334721065779</v>
      </c>
      <c r="P9" s="28">
        <f t="shared" si="9"/>
        <v>3506.6000000000004</v>
      </c>
      <c r="AA9"/>
    </row>
    <row r="10" spans="2:27" x14ac:dyDescent="0.35">
      <c r="B10" s="5" t="s">
        <v>94</v>
      </c>
      <c r="C10" s="6">
        <f>SUMIFS(flu_eth_ep[fl_staff],flu_eth_ep[Ethnicity],$B10)</f>
        <v>1378</v>
      </c>
      <c r="D10" s="6">
        <f>SUMIFS(flu_eth_ep[fl_doses],flu_eth_ep[Ethnicity],$B10)</f>
        <v>671</v>
      </c>
      <c r="E10" s="7">
        <f t="shared" si="7"/>
        <v>0.48693759071117559</v>
      </c>
      <c r="F10" s="2">
        <f t="shared" si="0"/>
        <v>4</v>
      </c>
      <c r="H10" s="2">
        <v>6</v>
      </c>
      <c r="J10" s="5" t="str">
        <f t="shared" si="1"/>
        <v>C: White - Any other White background</v>
      </c>
      <c r="K10" s="6">
        <f t="shared" si="2"/>
        <v>20670</v>
      </c>
      <c r="L10" s="6">
        <f t="shared" si="3"/>
        <v>8294</v>
      </c>
      <c r="M10" s="7">
        <f t="shared" si="4"/>
        <v>0.40125786163522015</v>
      </c>
      <c r="O10" s="30">
        <f t="shared" si="8"/>
        <v>0.19874213836477983</v>
      </c>
      <c r="P10" s="28">
        <f t="shared" si="9"/>
        <v>4108</v>
      </c>
      <c r="AA10"/>
    </row>
    <row r="11" spans="2:27" x14ac:dyDescent="0.35">
      <c r="B11" s="5" t="s">
        <v>608</v>
      </c>
      <c r="C11" s="6">
        <f>SUMIFS(flu_eth_ep[fl_staff],flu_eth_ep[Ethnicity],$B11)</f>
        <v>3012</v>
      </c>
      <c r="D11" s="6">
        <f>SUMIFS(flu_eth_ep[fl_doses],flu_eth_ep[Ethnicity],$B11)</f>
        <v>1183</v>
      </c>
      <c r="E11" s="7">
        <f t="shared" si="7"/>
        <v>0.39276228419654713</v>
      </c>
      <c r="F11" s="2">
        <f t="shared" si="0"/>
        <v>7</v>
      </c>
      <c r="H11" s="2">
        <v>7</v>
      </c>
      <c r="J11" s="5" t="str">
        <f t="shared" si="1"/>
        <v>G: Mixed - Any other Mixed background</v>
      </c>
      <c r="K11" s="6">
        <f t="shared" si="2"/>
        <v>3012</v>
      </c>
      <c r="L11" s="6">
        <f t="shared" si="3"/>
        <v>1183</v>
      </c>
      <c r="M11" s="7">
        <f t="shared" si="4"/>
        <v>0.39276228419654713</v>
      </c>
      <c r="O11" s="30">
        <f t="shared" si="8"/>
        <v>0.20723771580345285</v>
      </c>
      <c r="P11" s="28">
        <f t="shared" si="9"/>
        <v>624.20000000000005</v>
      </c>
      <c r="AA11"/>
    </row>
    <row r="12" spans="2:27" x14ac:dyDescent="0.35">
      <c r="B12" s="5" t="s">
        <v>123</v>
      </c>
      <c r="C12" s="6">
        <f>SUMIFS(flu_eth_ep[fl_staff],flu_eth_ep[Ethnicity],$B12)</f>
        <v>17301</v>
      </c>
      <c r="D12" s="6">
        <f>SUMIFS(flu_eth_ep[fl_doses],flu_eth_ep[Ethnicity],$B12)</f>
        <v>6765</v>
      </c>
      <c r="E12" s="7">
        <f t="shared" si="7"/>
        <v>0.39101786023929253</v>
      </c>
      <c r="F12" s="2">
        <f t="shared" si="0"/>
        <v>8</v>
      </c>
      <c r="H12" s="2">
        <v>8</v>
      </c>
      <c r="J12" s="5" t="str">
        <f t="shared" si="1"/>
        <v>H: Asian or Asian British - Indian</v>
      </c>
      <c r="K12" s="6">
        <f t="shared" si="2"/>
        <v>17301</v>
      </c>
      <c r="L12" s="6">
        <f t="shared" si="3"/>
        <v>6765</v>
      </c>
      <c r="M12" s="7">
        <f t="shared" si="4"/>
        <v>0.39101786023929253</v>
      </c>
      <c r="O12" s="30">
        <f t="shared" si="8"/>
        <v>0.20898213976070745</v>
      </c>
      <c r="P12" s="28">
        <f t="shared" si="9"/>
        <v>3615.6000000000004</v>
      </c>
      <c r="AA12"/>
    </row>
    <row r="13" spans="2:27" x14ac:dyDescent="0.35">
      <c r="B13" s="5" t="s">
        <v>82</v>
      </c>
      <c r="C13" s="6">
        <f>SUMIFS(flu_eth_ep[fl_staff],flu_eth_ep[Ethnicity],$B13)</f>
        <v>4252</v>
      </c>
      <c r="D13" s="6">
        <f>SUMIFS(flu_eth_ep[fl_doses],flu_eth_ep[Ethnicity],$B13)</f>
        <v>1245</v>
      </c>
      <c r="E13" s="7">
        <f t="shared" si="7"/>
        <v>0.29280338664158045</v>
      </c>
      <c r="F13" s="2">
        <f t="shared" si="0"/>
        <v>11</v>
      </c>
      <c r="H13" s="2">
        <v>9</v>
      </c>
      <c r="J13" s="5" t="str">
        <f t="shared" si="1"/>
        <v>S: Other ethnic groups - Any other ethnic group</v>
      </c>
      <c r="K13" s="6">
        <f t="shared" si="2"/>
        <v>13317</v>
      </c>
      <c r="L13" s="6">
        <f t="shared" si="3"/>
        <v>5182</v>
      </c>
      <c r="M13" s="7">
        <f t="shared" si="4"/>
        <v>0.38912668018322444</v>
      </c>
      <c r="O13" s="30">
        <f t="shared" si="8"/>
        <v>0.21087331981677554</v>
      </c>
      <c r="P13" s="28">
        <f t="shared" si="9"/>
        <v>2808.2</v>
      </c>
      <c r="AA13"/>
    </row>
    <row r="14" spans="2:27" x14ac:dyDescent="0.35">
      <c r="B14" s="5" t="s">
        <v>88</v>
      </c>
      <c r="C14" s="6">
        <f>SUMIFS(flu_eth_ep[fl_staff],flu_eth_ep[Ethnicity],$B14)</f>
        <v>3854</v>
      </c>
      <c r="D14" s="6">
        <f>SUMIFS(flu_eth_ep[fl_doses],flu_eth_ep[Ethnicity],$B14)</f>
        <v>959</v>
      </c>
      <c r="E14" s="7">
        <f t="shared" si="7"/>
        <v>0.24883238194084067</v>
      </c>
      <c r="F14" s="2">
        <f t="shared" si="0"/>
        <v>15</v>
      </c>
      <c r="H14" s="2">
        <v>10</v>
      </c>
      <c r="J14" s="5" t="str">
        <f t="shared" si="1"/>
        <v>X: Unknown</v>
      </c>
      <c r="K14" s="6">
        <f t="shared" si="2"/>
        <v>12459</v>
      </c>
      <c r="L14" s="6">
        <f t="shared" si="3"/>
        <v>4652</v>
      </c>
      <c r="M14" s="7">
        <f t="shared" si="4"/>
        <v>0.37338470182197608</v>
      </c>
      <c r="O14" s="30">
        <f t="shared" si="8"/>
        <v>0.22661529817802389</v>
      </c>
      <c r="P14" s="28">
        <f t="shared" si="9"/>
        <v>2823.3999999999996</v>
      </c>
      <c r="AA14"/>
    </row>
    <row r="15" spans="2:27" x14ac:dyDescent="0.35">
      <c r="B15" s="5" t="s">
        <v>141</v>
      </c>
      <c r="C15" s="6">
        <f>SUMIFS(flu_eth_ep[fl_staff],flu_eth_ep[Ethnicity],$B15)</f>
        <v>19216</v>
      </c>
      <c r="D15" s="6">
        <f>SUMIFS(flu_eth_ep[fl_doses],flu_eth_ep[Ethnicity],$B15)</f>
        <v>8023</v>
      </c>
      <c r="E15" s="7">
        <f t="shared" si="7"/>
        <v>0.41751665278934219</v>
      </c>
      <c r="F15" s="2">
        <f t="shared" si="0"/>
        <v>5</v>
      </c>
      <c r="H15" s="2">
        <v>11</v>
      </c>
      <c r="J15" s="5" t="str">
        <f t="shared" si="1"/>
        <v>J: Asian or Asian British - Pakistani</v>
      </c>
      <c r="K15" s="6">
        <f t="shared" si="2"/>
        <v>4252</v>
      </c>
      <c r="L15" s="6">
        <f t="shared" si="3"/>
        <v>1245</v>
      </c>
      <c r="M15" s="7">
        <f t="shared" si="4"/>
        <v>0.29280338664158045</v>
      </c>
      <c r="O15" s="30">
        <f t="shared" si="8"/>
        <v>0.30719661335841952</v>
      </c>
      <c r="P15" s="28">
        <f t="shared" si="9"/>
        <v>1306.1999999999998</v>
      </c>
      <c r="AA15"/>
    </row>
    <row r="16" spans="2:27" x14ac:dyDescent="0.35">
      <c r="B16" s="5" t="s">
        <v>61</v>
      </c>
      <c r="C16" s="6">
        <f>SUMIFS(flu_eth_ep[fl_staff],flu_eth_ep[Ethnicity],$B16)</f>
        <v>5940</v>
      </c>
      <c r="D16" s="6">
        <f>SUMIFS(flu_eth_ep[fl_doses],flu_eth_ep[Ethnicity],$B16)</f>
        <v>1197</v>
      </c>
      <c r="E16" s="7">
        <f t="shared" si="7"/>
        <v>0.20151515151515151</v>
      </c>
      <c r="F16" s="2">
        <f t="shared" si="0"/>
        <v>17</v>
      </c>
      <c r="H16" s="2">
        <v>12</v>
      </c>
      <c r="J16" s="5" t="str">
        <f t="shared" si="1"/>
        <v>E: Mixed - White and Black African</v>
      </c>
      <c r="K16" s="6">
        <f t="shared" si="2"/>
        <v>2385</v>
      </c>
      <c r="L16" s="6">
        <f t="shared" si="3"/>
        <v>621</v>
      </c>
      <c r="M16" s="7">
        <f t="shared" si="4"/>
        <v>0.26037735849056604</v>
      </c>
      <c r="O16" s="30">
        <f t="shared" si="8"/>
        <v>0.33962264150943394</v>
      </c>
      <c r="P16" s="28">
        <f t="shared" si="9"/>
        <v>810</v>
      </c>
      <c r="AA16"/>
    </row>
    <row r="17" spans="2:33" x14ac:dyDescent="0.35">
      <c r="B17" s="5" t="s">
        <v>100</v>
      </c>
      <c r="C17" s="6">
        <f>SUMIFS(flu_eth_ep[fl_staff],flu_eth_ep[Ethnicity],$B17)</f>
        <v>31435</v>
      </c>
      <c r="D17" s="6">
        <f>SUMIFS(flu_eth_ep[fl_doses],flu_eth_ep[Ethnicity],$B17)</f>
        <v>8120</v>
      </c>
      <c r="E17" s="7">
        <f t="shared" si="7"/>
        <v>0.25831080006362334</v>
      </c>
      <c r="F17" s="2">
        <f t="shared" si="0"/>
        <v>13</v>
      </c>
      <c r="H17" s="2">
        <v>13</v>
      </c>
      <c r="J17" s="5" t="str">
        <f t="shared" si="1"/>
        <v>N: Black or Black British - African</v>
      </c>
      <c r="K17" s="6">
        <f t="shared" si="2"/>
        <v>31435</v>
      </c>
      <c r="L17" s="6">
        <f t="shared" si="3"/>
        <v>8120</v>
      </c>
      <c r="M17" s="7">
        <f t="shared" si="4"/>
        <v>0.25831080006362334</v>
      </c>
      <c r="O17" s="30">
        <f t="shared" si="8"/>
        <v>0.34168919993637664</v>
      </c>
      <c r="P17" s="28">
        <f t="shared" si="9"/>
        <v>10741</v>
      </c>
      <c r="AA17"/>
    </row>
    <row r="18" spans="2:33" x14ac:dyDescent="0.35">
      <c r="B18" s="5" t="s">
        <v>75</v>
      </c>
      <c r="C18" s="6">
        <f>SUMIFS(flu_eth_ep[fl_staff],flu_eth_ep[Ethnicity],$B18)</f>
        <v>8135</v>
      </c>
      <c r="D18" s="6">
        <f>SUMIFS(flu_eth_ep[fl_doses],flu_eth_ep[Ethnicity],$B18)</f>
        <v>1905</v>
      </c>
      <c r="E18" s="7">
        <f t="shared" si="7"/>
        <v>0.23417332513829134</v>
      </c>
      <c r="F18" s="2">
        <f t="shared" si="0"/>
        <v>16</v>
      </c>
      <c r="H18" s="2">
        <v>14</v>
      </c>
      <c r="J18" s="5" t="str">
        <f t="shared" si="1"/>
        <v>D: Mixed - White and Black Caribbean</v>
      </c>
      <c r="K18" s="6">
        <f t="shared" si="2"/>
        <v>1262</v>
      </c>
      <c r="L18" s="6">
        <f t="shared" si="3"/>
        <v>325</v>
      </c>
      <c r="M18" s="7">
        <f t="shared" si="4"/>
        <v>0.25752773375594296</v>
      </c>
      <c r="O18" s="30">
        <f t="shared" si="8"/>
        <v>0.34247226624405702</v>
      </c>
      <c r="P18" s="28">
        <f t="shared" si="9"/>
        <v>432.19999999999993</v>
      </c>
      <c r="AA18"/>
    </row>
    <row r="19" spans="2:33" x14ac:dyDescent="0.35">
      <c r="B19" s="5" t="s">
        <v>106</v>
      </c>
      <c r="C19" s="6">
        <f>SUMIFS(flu_eth_ep[fl_staff],flu_eth_ep[Ethnicity],$B19)</f>
        <v>2693</v>
      </c>
      <c r="D19" s="6">
        <f>SUMIFS(flu_eth_ep[fl_doses],flu_eth_ep[Ethnicity],$B19)</f>
        <v>1387</v>
      </c>
      <c r="E19" s="7">
        <f t="shared" si="7"/>
        <v>0.51503898997400666</v>
      </c>
      <c r="F19" s="2">
        <f t="shared" si="0"/>
        <v>3</v>
      </c>
      <c r="H19" s="2">
        <v>15</v>
      </c>
      <c r="J19" s="5" t="str">
        <f t="shared" si="1"/>
        <v>K: Asian or Asian British - Bangladeshi</v>
      </c>
      <c r="K19" s="6">
        <f t="shared" si="2"/>
        <v>3854</v>
      </c>
      <c r="L19" s="6">
        <f t="shared" si="3"/>
        <v>959</v>
      </c>
      <c r="M19" s="7">
        <f t="shared" si="4"/>
        <v>0.24883238194084067</v>
      </c>
      <c r="O19" s="30">
        <f t="shared" si="8"/>
        <v>0.3511676180591593</v>
      </c>
      <c r="P19" s="28">
        <f t="shared" si="9"/>
        <v>1353.4</v>
      </c>
      <c r="AA19"/>
    </row>
    <row r="20" spans="2:33" x14ac:dyDescent="0.35">
      <c r="B20" s="5" t="s">
        <v>112</v>
      </c>
      <c r="C20" s="6">
        <f>SUMIFS(flu_eth_ep[fl_staff],flu_eth_ep[Ethnicity],$B20)</f>
        <v>13317</v>
      </c>
      <c r="D20" s="6">
        <f>SUMIFS(flu_eth_ep[fl_doses],flu_eth_ep[Ethnicity],$B20)</f>
        <v>5182</v>
      </c>
      <c r="E20" s="7">
        <f t="shared" si="7"/>
        <v>0.38912668018322444</v>
      </c>
      <c r="F20" s="2">
        <f t="shared" si="0"/>
        <v>9</v>
      </c>
      <c r="H20" s="2">
        <v>16</v>
      </c>
      <c r="J20" s="5" t="str">
        <f t="shared" si="1"/>
        <v>P: Black or Black British - Any other Black background</v>
      </c>
      <c r="K20" s="6">
        <f t="shared" si="2"/>
        <v>8135</v>
      </c>
      <c r="L20" s="6">
        <f t="shared" si="3"/>
        <v>1905</v>
      </c>
      <c r="M20" s="7">
        <f t="shared" si="4"/>
        <v>0.23417332513829134</v>
      </c>
      <c r="O20" s="30">
        <f t="shared" si="8"/>
        <v>0.36582667486170861</v>
      </c>
      <c r="P20" s="28">
        <f t="shared" si="9"/>
        <v>2976</v>
      </c>
      <c r="AA20"/>
    </row>
    <row r="21" spans="2:33" x14ac:dyDescent="0.35">
      <c r="B21" s="5" t="s">
        <v>36</v>
      </c>
      <c r="C21" s="6">
        <f>SUMIFS(flu_eth_ep[fl_staff],flu_eth_ep[Ethnicity],$B21)</f>
        <v>12459</v>
      </c>
      <c r="D21" s="6">
        <f>SUMIFS(flu_eth_ep[fl_doses],flu_eth_ep[Ethnicity],$B21)</f>
        <v>4652</v>
      </c>
      <c r="E21" s="7">
        <f t="shared" si="7"/>
        <v>0.37338470182197608</v>
      </c>
      <c r="F21" s="2">
        <f t="shared" si="0"/>
        <v>10</v>
      </c>
      <c r="H21" s="2">
        <v>17</v>
      </c>
      <c r="J21" s="5" t="str">
        <f t="shared" si="1"/>
        <v>M: Black or Black British - Caribbean</v>
      </c>
      <c r="K21" s="6">
        <f t="shared" si="2"/>
        <v>5940</v>
      </c>
      <c r="L21" s="6">
        <f t="shared" si="3"/>
        <v>1197</v>
      </c>
      <c r="M21" s="7">
        <f t="shared" si="4"/>
        <v>0.20151515151515151</v>
      </c>
      <c r="O21" s="30">
        <f t="shared" si="8"/>
        <v>0.39848484848484844</v>
      </c>
      <c r="P21" s="28">
        <f t="shared" si="9"/>
        <v>2367</v>
      </c>
      <c r="AA21"/>
    </row>
    <row r="22" spans="2:33" x14ac:dyDescent="0.35">
      <c r="AG22"/>
    </row>
    <row r="23" spans="2:33" ht="26" x14ac:dyDescent="0.6">
      <c r="J23" s="11" t="s">
        <v>645</v>
      </c>
      <c r="AG23"/>
    </row>
    <row r="24" spans="2:33" x14ac:dyDescent="0.35">
      <c r="AG24"/>
    </row>
    <row r="25" spans="2:33" x14ac:dyDescent="0.35">
      <c r="J25" s="4" t="s">
        <v>646</v>
      </c>
      <c r="AG25"/>
    </row>
    <row r="26" spans="2:33" x14ac:dyDescent="0.35">
      <c r="J26" s="8" t="s">
        <v>647</v>
      </c>
      <c r="AG26"/>
    </row>
    <row r="27" spans="2:33" x14ac:dyDescent="0.35">
      <c r="AG27"/>
    </row>
    <row r="28" spans="2:33" ht="43.5" x14ac:dyDescent="0.35">
      <c r="B28" s="4" t="s">
        <v>15</v>
      </c>
      <c r="C28" s="50" t="s">
        <v>606</v>
      </c>
      <c r="D28" s="50" t="s">
        <v>540</v>
      </c>
      <c r="E28" s="50" t="s">
        <v>541</v>
      </c>
      <c r="J28" s="4" t="s">
        <v>17</v>
      </c>
      <c r="K28" s="50" t="s">
        <v>606</v>
      </c>
      <c r="L28" s="50" t="s">
        <v>540</v>
      </c>
      <c r="M28" s="50" t="s">
        <v>541</v>
      </c>
      <c r="O28" s="47" t="s">
        <v>642</v>
      </c>
      <c r="P28" s="47" t="s">
        <v>643</v>
      </c>
      <c r="AG28"/>
    </row>
    <row r="29" spans="2:33" x14ac:dyDescent="0.35">
      <c r="B29" s="5" t="s">
        <v>68</v>
      </c>
      <c r="C29" s="6" t="str">
        <f>IF($J$26="&lt;Please Select&gt;","",SUMIFS(flu_eth_ep[fl_staff],flu_eth_ep[Ethnicity],$B29,flu_eth_ep[trust_short],$J$26))</f>
        <v/>
      </c>
      <c r="D29" s="6" t="str">
        <f>IF($J$26="&lt;Please Select&gt;","",SUMIFS(flu_eth_ep[fl_doses],flu_eth_ep[Ethnicity],$B29,flu_eth_ep[trust_short],$J$26))</f>
        <v/>
      </c>
      <c r="E29" s="7" t="str">
        <f>IFERROR(D29/C29,"")</f>
        <v/>
      </c>
      <c r="F29" s="2" t="str">
        <f>IFERROR(_xlfn.RANK.EQ(E29,$E$29:$E$45,0),"")</f>
        <v/>
      </c>
      <c r="H29" s="2">
        <v>1</v>
      </c>
      <c r="J29" s="5" t="str">
        <f>IFERROR(INDEX(B$29:B$45,MATCH($H29,$F$29:$F$45,0)),"")</f>
        <v/>
      </c>
      <c r="K29" s="6" t="str">
        <f>IFERROR(INDEX(C$29:C$45,MATCH($H29,$F$29:$F$45,0)),"")</f>
        <v/>
      </c>
      <c r="L29" s="6" t="str">
        <f>IFERROR(INDEX(D$29:D$45,MATCH($H29,$F$29:$F$45,0)),"")</f>
        <v/>
      </c>
      <c r="M29" s="7" t="str">
        <f>IFERROR(INDEX(E$29:E$45,MATCH($H29,$F$29:$F$45,0)),"")</f>
        <v/>
      </c>
      <c r="O29" s="30" t="str">
        <f>IFERROR(0.6-M29,"")</f>
        <v/>
      </c>
      <c r="P29" s="28" t="str">
        <f>IFERROR((K29*0.6)-L29,"")</f>
        <v/>
      </c>
      <c r="AG29"/>
    </row>
    <row r="30" spans="2:33" x14ac:dyDescent="0.35">
      <c r="B30" s="5" t="s">
        <v>135</v>
      </c>
      <c r="C30" s="6" t="str">
        <f>IF($J$26="&lt;Please Select&gt;","",SUMIFS(flu_eth_ep[fl_staff],flu_eth_ep[Ethnicity],$B30,flu_eth_ep[trust_short],$J$26))</f>
        <v/>
      </c>
      <c r="D30" s="6" t="str">
        <f>IF($J$26="&lt;Please Select&gt;","",SUMIFS(flu_eth_ep[fl_doses],flu_eth_ep[Ethnicity],$B30,flu_eth_ep[trust_short],$J$26))</f>
        <v/>
      </c>
      <c r="E30" s="7" t="str">
        <f t="shared" ref="E30:E45" si="10">IFERROR(D30/C30,"")</f>
        <v/>
      </c>
      <c r="F30" s="2" t="str">
        <f t="shared" ref="F30:F45" si="11">IFERROR(_xlfn.RANK.EQ(E30,$E$29:$E$45,0),"")</f>
        <v/>
      </c>
      <c r="H30" s="2">
        <v>2</v>
      </c>
      <c r="J30" s="5" t="str">
        <f t="shared" ref="J30:J45" si="12">IFERROR(INDEX(B$29:B$45,MATCH($H30,$F$29:$F$45,0)),"")</f>
        <v/>
      </c>
      <c r="K30" s="6" t="str">
        <f t="shared" ref="K30:K45" si="13">IFERROR(INDEX(C$29:C$45,MATCH($H30,$F$29:$F$45,0)),"")</f>
        <v/>
      </c>
      <c r="L30" s="6" t="str">
        <f t="shared" ref="L30:L45" si="14">IFERROR(INDEX(D$29:D$45,MATCH($H30,$F$29:$F$45,0)),"")</f>
        <v/>
      </c>
      <c r="M30" s="7" t="str">
        <f t="shared" ref="M30:M45" si="15">IFERROR(INDEX(E$29:E$45,MATCH($H30,$F$29:$F$45,0)),"")</f>
        <v/>
      </c>
      <c r="O30" s="30" t="str">
        <f t="shared" ref="O30:O45" si="16">IFERROR(0.6-M30,"")</f>
        <v/>
      </c>
      <c r="P30" s="28" t="str">
        <f t="shared" ref="P30:P45" si="17">IFERROR((K30*0.6)-L30,"")</f>
        <v/>
      </c>
      <c r="AG30"/>
    </row>
    <row r="31" spans="2:33" x14ac:dyDescent="0.35">
      <c r="B31" s="5" t="s">
        <v>607</v>
      </c>
      <c r="C31" s="6" t="str">
        <f>IF($J$26="&lt;Please Select&gt;","",SUMIFS(flu_eth_ep[fl_staff],flu_eth_ep[Ethnicity],$B31,flu_eth_ep[trust_short],$J$26))</f>
        <v/>
      </c>
      <c r="D31" s="6" t="str">
        <f>IF($J$26="&lt;Please Select&gt;","",SUMIFS(flu_eth_ep[fl_doses],flu_eth_ep[Ethnicity],$B31,flu_eth_ep[trust_short],$J$26))</f>
        <v/>
      </c>
      <c r="E31" s="7" t="str">
        <f t="shared" si="10"/>
        <v/>
      </c>
      <c r="F31" s="2" t="str">
        <f t="shared" si="11"/>
        <v/>
      </c>
      <c r="H31" s="2">
        <v>3</v>
      </c>
      <c r="J31" s="5" t="str">
        <f t="shared" si="12"/>
        <v/>
      </c>
      <c r="K31" s="6" t="str">
        <f t="shared" si="13"/>
        <v/>
      </c>
      <c r="L31" s="6" t="str">
        <f t="shared" si="14"/>
        <v/>
      </c>
      <c r="M31" s="7" t="str">
        <f t="shared" si="15"/>
        <v/>
      </c>
      <c r="O31" s="30" t="str">
        <f t="shared" si="16"/>
        <v/>
      </c>
      <c r="P31" s="28" t="str">
        <f t="shared" si="17"/>
        <v/>
      </c>
      <c r="AG31"/>
    </row>
    <row r="32" spans="2:33" x14ac:dyDescent="0.35">
      <c r="B32" s="5" t="s">
        <v>129</v>
      </c>
      <c r="C32" s="6" t="str">
        <f>IF($J$26="&lt;Please Select&gt;","",SUMIFS(flu_eth_ep[fl_staff],flu_eth_ep[Ethnicity],$B32,flu_eth_ep[trust_short],$J$26))</f>
        <v/>
      </c>
      <c r="D32" s="6" t="str">
        <f>IF($J$26="&lt;Please Select&gt;","",SUMIFS(flu_eth_ep[fl_doses],flu_eth_ep[Ethnicity],$B32,flu_eth_ep[trust_short],$J$26))</f>
        <v/>
      </c>
      <c r="E32" s="7" t="str">
        <f t="shared" si="10"/>
        <v/>
      </c>
      <c r="F32" s="2" t="str">
        <f t="shared" si="11"/>
        <v/>
      </c>
      <c r="H32" s="2">
        <v>4</v>
      </c>
      <c r="J32" s="5" t="str">
        <f t="shared" si="12"/>
        <v/>
      </c>
      <c r="K32" s="6" t="str">
        <f t="shared" si="13"/>
        <v/>
      </c>
      <c r="L32" s="6" t="str">
        <f t="shared" si="14"/>
        <v/>
      </c>
      <c r="M32" s="7" t="str">
        <f t="shared" si="15"/>
        <v/>
      </c>
      <c r="O32" s="30" t="str">
        <f t="shared" si="16"/>
        <v/>
      </c>
      <c r="P32" s="28" t="str">
        <f t="shared" si="17"/>
        <v/>
      </c>
      <c r="AG32"/>
    </row>
    <row r="33" spans="2:33" x14ac:dyDescent="0.35">
      <c r="B33" s="5" t="s">
        <v>47</v>
      </c>
      <c r="C33" s="6" t="str">
        <f>IF($J$26="&lt;Please Select&gt;","",SUMIFS(flu_eth_ep[fl_staff],flu_eth_ep[Ethnicity],$B33,flu_eth_ep[trust_short],$J$26))</f>
        <v/>
      </c>
      <c r="D33" s="6" t="str">
        <f>IF($J$26="&lt;Please Select&gt;","",SUMIFS(flu_eth_ep[fl_doses],flu_eth_ep[Ethnicity],$B33,flu_eth_ep[trust_short],$J$26))</f>
        <v/>
      </c>
      <c r="E33" s="7" t="str">
        <f t="shared" si="10"/>
        <v/>
      </c>
      <c r="F33" s="2" t="str">
        <f t="shared" si="11"/>
        <v/>
      </c>
      <c r="H33" s="2">
        <v>5</v>
      </c>
      <c r="J33" s="5" t="str">
        <f t="shared" si="12"/>
        <v/>
      </c>
      <c r="K33" s="6" t="str">
        <f t="shared" si="13"/>
        <v/>
      </c>
      <c r="L33" s="6" t="str">
        <f t="shared" si="14"/>
        <v/>
      </c>
      <c r="M33" s="7" t="str">
        <f t="shared" si="15"/>
        <v/>
      </c>
      <c r="O33" s="30" t="str">
        <f t="shared" si="16"/>
        <v/>
      </c>
      <c r="P33" s="28" t="str">
        <f t="shared" si="17"/>
        <v/>
      </c>
      <c r="AG33"/>
    </row>
    <row r="34" spans="2:33" x14ac:dyDescent="0.35">
      <c r="B34" s="5" t="s">
        <v>94</v>
      </c>
      <c r="C34" s="6" t="str">
        <f>IF($J$26="&lt;Please Select&gt;","",SUMIFS(flu_eth_ep[fl_staff],flu_eth_ep[Ethnicity],$B34,flu_eth_ep[trust_short],$J$26))</f>
        <v/>
      </c>
      <c r="D34" s="6" t="str">
        <f>IF($J$26="&lt;Please Select&gt;","",SUMIFS(flu_eth_ep[fl_doses],flu_eth_ep[Ethnicity],$B34,flu_eth_ep[trust_short],$J$26))</f>
        <v/>
      </c>
      <c r="E34" s="7" t="str">
        <f t="shared" si="10"/>
        <v/>
      </c>
      <c r="F34" s="2" t="str">
        <f t="shared" si="11"/>
        <v/>
      </c>
      <c r="H34" s="2">
        <v>6</v>
      </c>
      <c r="J34" s="5" t="str">
        <f t="shared" si="12"/>
        <v/>
      </c>
      <c r="K34" s="6" t="str">
        <f t="shared" si="13"/>
        <v/>
      </c>
      <c r="L34" s="6" t="str">
        <f t="shared" si="14"/>
        <v/>
      </c>
      <c r="M34" s="7" t="str">
        <f t="shared" si="15"/>
        <v/>
      </c>
      <c r="O34" s="30" t="str">
        <f t="shared" si="16"/>
        <v/>
      </c>
      <c r="P34" s="28" t="str">
        <f t="shared" si="17"/>
        <v/>
      </c>
      <c r="AG34"/>
    </row>
    <row r="35" spans="2:33" x14ac:dyDescent="0.35">
      <c r="B35" s="5" t="s">
        <v>608</v>
      </c>
      <c r="C35" s="6" t="str">
        <f>IF($J$26="&lt;Please Select&gt;","",SUMIFS(flu_eth_ep[fl_staff],flu_eth_ep[Ethnicity],$B35,flu_eth_ep[trust_short],$J$26))</f>
        <v/>
      </c>
      <c r="D35" s="6" t="str">
        <f>IF($J$26="&lt;Please Select&gt;","",SUMIFS(flu_eth_ep[fl_doses],flu_eth_ep[Ethnicity],$B35,flu_eth_ep[trust_short],$J$26))</f>
        <v/>
      </c>
      <c r="E35" s="7" t="str">
        <f t="shared" si="10"/>
        <v/>
      </c>
      <c r="F35" s="2" t="str">
        <f t="shared" si="11"/>
        <v/>
      </c>
      <c r="H35" s="2">
        <v>7</v>
      </c>
      <c r="J35" s="5" t="str">
        <f t="shared" si="12"/>
        <v/>
      </c>
      <c r="K35" s="6" t="str">
        <f t="shared" si="13"/>
        <v/>
      </c>
      <c r="L35" s="6" t="str">
        <f t="shared" si="14"/>
        <v/>
      </c>
      <c r="M35" s="7" t="str">
        <f t="shared" si="15"/>
        <v/>
      </c>
      <c r="O35" s="30" t="str">
        <f t="shared" si="16"/>
        <v/>
      </c>
      <c r="P35" s="28" t="str">
        <f t="shared" si="17"/>
        <v/>
      </c>
      <c r="AG35"/>
    </row>
    <row r="36" spans="2:33" x14ac:dyDescent="0.35">
      <c r="B36" s="5" t="s">
        <v>123</v>
      </c>
      <c r="C36" s="6" t="str">
        <f>IF($J$26="&lt;Please Select&gt;","",SUMIFS(flu_eth_ep[fl_staff],flu_eth_ep[Ethnicity],$B36,flu_eth_ep[trust_short],$J$26))</f>
        <v/>
      </c>
      <c r="D36" s="6" t="str">
        <f>IF($J$26="&lt;Please Select&gt;","",SUMIFS(flu_eth_ep[fl_doses],flu_eth_ep[Ethnicity],$B36,flu_eth_ep[trust_short],$J$26))</f>
        <v/>
      </c>
      <c r="E36" s="7" t="str">
        <f t="shared" si="10"/>
        <v/>
      </c>
      <c r="F36" s="2" t="str">
        <f t="shared" si="11"/>
        <v/>
      </c>
      <c r="H36" s="2">
        <v>8</v>
      </c>
      <c r="J36" s="5" t="str">
        <f t="shared" si="12"/>
        <v/>
      </c>
      <c r="K36" s="6" t="str">
        <f t="shared" si="13"/>
        <v/>
      </c>
      <c r="L36" s="6" t="str">
        <f t="shared" si="14"/>
        <v/>
      </c>
      <c r="M36" s="7" t="str">
        <f t="shared" si="15"/>
        <v/>
      </c>
      <c r="O36" s="30" t="str">
        <f t="shared" si="16"/>
        <v/>
      </c>
      <c r="P36" s="28" t="str">
        <f t="shared" si="17"/>
        <v/>
      </c>
      <c r="AG36"/>
    </row>
    <row r="37" spans="2:33" x14ac:dyDescent="0.35">
      <c r="B37" s="5" t="s">
        <v>82</v>
      </c>
      <c r="C37" s="6" t="str">
        <f>IF($J$26="&lt;Please Select&gt;","",SUMIFS(flu_eth_ep[fl_staff],flu_eth_ep[Ethnicity],$B37,flu_eth_ep[trust_short],$J$26))</f>
        <v/>
      </c>
      <c r="D37" s="6" t="str">
        <f>IF($J$26="&lt;Please Select&gt;","",SUMIFS(flu_eth_ep[fl_doses],flu_eth_ep[Ethnicity],$B37,flu_eth_ep[trust_short],$J$26))</f>
        <v/>
      </c>
      <c r="E37" s="7" t="str">
        <f t="shared" si="10"/>
        <v/>
      </c>
      <c r="F37" s="2" t="str">
        <f t="shared" si="11"/>
        <v/>
      </c>
      <c r="H37" s="2">
        <v>9</v>
      </c>
      <c r="J37" s="5" t="str">
        <f t="shared" si="12"/>
        <v/>
      </c>
      <c r="K37" s="6" t="str">
        <f t="shared" si="13"/>
        <v/>
      </c>
      <c r="L37" s="6" t="str">
        <f t="shared" si="14"/>
        <v/>
      </c>
      <c r="M37" s="7" t="str">
        <f t="shared" si="15"/>
        <v/>
      </c>
      <c r="O37" s="30" t="str">
        <f t="shared" si="16"/>
        <v/>
      </c>
      <c r="P37" s="28" t="str">
        <f t="shared" si="17"/>
        <v/>
      </c>
      <c r="AG37"/>
    </row>
    <row r="38" spans="2:33" x14ac:dyDescent="0.35">
      <c r="B38" s="5" t="s">
        <v>88</v>
      </c>
      <c r="C38" s="6" t="str">
        <f>IF($J$26="&lt;Please Select&gt;","",SUMIFS(flu_eth_ep[fl_staff],flu_eth_ep[Ethnicity],$B38,flu_eth_ep[trust_short],$J$26))</f>
        <v/>
      </c>
      <c r="D38" s="6" t="str">
        <f>IF($J$26="&lt;Please Select&gt;","",SUMIFS(flu_eth_ep[fl_doses],flu_eth_ep[Ethnicity],$B38,flu_eth_ep[trust_short],$J$26))</f>
        <v/>
      </c>
      <c r="E38" s="7" t="str">
        <f t="shared" si="10"/>
        <v/>
      </c>
      <c r="F38" s="2" t="str">
        <f t="shared" si="11"/>
        <v/>
      </c>
      <c r="H38" s="2">
        <v>10</v>
      </c>
      <c r="J38" s="5" t="str">
        <f t="shared" si="12"/>
        <v/>
      </c>
      <c r="K38" s="6" t="str">
        <f t="shared" si="13"/>
        <v/>
      </c>
      <c r="L38" s="6" t="str">
        <f t="shared" si="14"/>
        <v/>
      </c>
      <c r="M38" s="7" t="str">
        <f t="shared" si="15"/>
        <v/>
      </c>
      <c r="O38" s="30" t="str">
        <f t="shared" si="16"/>
        <v/>
      </c>
      <c r="P38" s="28" t="str">
        <f t="shared" si="17"/>
        <v/>
      </c>
      <c r="AG38"/>
    </row>
    <row r="39" spans="2:33" x14ac:dyDescent="0.35">
      <c r="B39" s="5" t="s">
        <v>141</v>
      </c>
      <c r="C39" s="6" t="str">
        <f>IF($J$26="&lt;Please Select&gt;","",SUMIFS(flu_eth_ep[fl_staff],flu_eth_ep[Ethnicity],$B39,flu_eth_ep[trust_short],$J$26))</f>
        <v/>
      </c>
      <c r="D39" s="6" t="str">
        <f>IF($J$26="&lt;Please Select&gt;","",SUMIFS(flu_eth_ep[fl_doses],flu_eth_ep[Ethnicity],$B39,flu_eth_ep[trust_short],$J$26))</f>
        <v/>
      </c>
      <c r="E39" s="7" t="str">
        <f t="shared" si="10"/>
        <v/>
      </c>
      <c r="F39" s="2" t="str">
        <f t="shared" si="11"/>
        <v/>
      </c>
      <c r="H39" s="2">
        <v>11</v>
      </c>
      <c r="J39" s="5" t="str">
        <f t="shared" si="12"/>
        <v/>
      </c>
      <c r="K39" s="6" t="str">
        <f t="shared" si="13"/>
        <v/>
      </c>
      <c r="L39" s="6" t="str">
        <f t="shared" si="14"/>
        <v/>
      </c>
      <c r="M39" s="7" t="str">
        <f t="shared" si="15"/>
        <v/>
      </c>
      <c r="O39" s="30" t="str">
        <f t="shared" si="16"/>
        <v/>
      </c>
      <c r="P39" s="28" t="str">
        <f t="shared" si="17"/>
        <v/>
      </c>
      <c r="AG39"/>
    </row>
    <row r="40" spans="2:33" x14ac:dyDescent="0.35">
      <c r="B40" s="5" t="s">
        <v>61</v>
      </c>
      <c r="C40" s="6" t="str">
        <f>IF($J$26="&lt;Please Select&gt;","",SUMIFS(flu_eth_ep[fl_staff],flu_eth_ep[Ethnicity],$B40,flu_eth_ep[trust_short],$J$26))</f>
        <v/>
      </c>
      <c r="D40" s="6" t="str">
        <f>IF($J$26="&lt;Please Select&gt;","",SUMIFS(flu_eth_ep[fl_doses],flu_eth_ep[Ethnicity],$B40,flu_eth_ep[trust_short],$J$26))</f>
        <v/>
      </c>
      <c r="E40" s="7" t="str">
        <f t="shared" si="10"/>
        <v/>
      </c>
      <c r="F40" s="2" t="str">
        <f t="shared" si="11"/>
        <v/>
      </c>
      <c r="H40" s="2">
        <v>12</v>
      </c>
      <c r="J40" s="5" t="str">
        <f t="shared" si="12"/>
        <v/>
      </c>
      <c r="K40" s="6" t="str">
        <f t="shared" si="13"/>
        <v/>
      </c>
      <c r="L40" s="6" t="str">
        <f t="shared" si="14"/>
        <v/>
      </c>
      <c r="M40" s="7" t="str">
        <f t="shared" si="15"/>
        <v/>
      </c>
      <c r="O40" s="30" t="str">
        <f t="shared" si="16"/>
        <v/>
      </c>
      <c r="P40" s="28" t="str">
        <f t="shared" si="17"/>
        <v/>
      </c>
      <c r="AG40"/>
    </row>
    <row r="41" spans="2:33" x14ac:dyDescent="0.35">
      <c r="B41" s="5" t="s">
        <v>100</v>
      </c>
      <c r="C41" s="6" t="str">
        <f>IF($J$26="&lt;Please Select&gt;","",SUMIFS(flu_eth_ep[fl_staff],flu_eth_ep[Ethnicity],$B41,flu_eth_ep[trust_short],$J$26))</f>
        <v/>
      </c>
      <c r="D41" s="6" t="str">
        <f>IF($J$26="&lt;Please Select&gt;","",SUMIFS(flu_eth_ep[fl_doses],flu_eth_ep[Ethnicity],$B41,flu_eth_ep[trust_short],$J$26))</f>
        <v/>
      </c>
      <c r="E41" s="7" t="str">
        <f t="shared" si="10"/>
        <v/>
      </c>
      <c r="F41" s="2" t="str">
        <f t="shared" si="11"/>
        <v/>
      </c>
      <c r="H41" s="2">
        <v>13</v>
      </c>
      <c r="J41" s="5" t="str">
        <f t="shared" si="12"/>
        <v/>
      </c>
      <c r="K41" s="6" t="str">
        <f t="shared" si="13"/>
        <v/>
      </c>
      <c r="L41" s="6" t="str">
        <f t="shared" si="14"/>
        <v/>
      </c>
      <c r="M41" s="7" t="str">
        <f t="shared" si="15"/>
        <v/>
      </c>
      <c r="O41" s="30" t="str">
        <f t="shared" si="16"/>
        <v/>
      </c>
      <c r="P41" s="28" t="str">
        <f t="shared" si="17"/>
        <v/>
      </c>
      <c r="AG41"/>
    </row>
    <row r="42" spans="2:33" x14ac:dyDescent="0.35">
      <c r="B42" s="5" t="s">
        <v>75</v>
      </c>
      <c r="C42" s="6" t="str">
        <f>IF($J$26="&lt;Please Select&gt;","",SUMIFS(flu_eth_ep[fl_staff],flu_eth_ep[Ethnicity],$B42,flu_eth_ep[trust_short],$J$26))</f>
        <v/>
      </c>
      <c r="D42" s="6" t="str">
        <f>IF($J$26="&lt;Please Select&gt;","",SUMIFS(flu_eth_ep[fl_doses],flu_eth_ep[Ethnicity],$B42,flu_eth_ep[trust_short],$J$26))</f>
        <v/>
      </c>
      <c r="E42" s="7" t="str">
        <f t="shared" si="10"/>
        <v/>
      </c>
      <c r="F42" s="2" t="str">
        <f t="shared" si="11"/>
        <v/>
      </c>
      <c r="H42" s="2">
        <v>14</v>
      </c>
      <c r="J42" s="5" t="str">
        <f t="shared" si="12"/>
        <v/>
      </c>
      <c r="K42" s="6" t="str">
        <f t="shared" si="13"/>
        <v/>
      </c>
      <c r="L42" s="6" t="str">
        <f t="shared" si="14"/>
        <v/>
      </c>
      <c r="M42" s="7" t="str">
        <f t="shared" si="15"/>
        <v/>
      </c>
      <c r="O42" s="30" t="str">
        <f t="shared" si="16"/>
        <v/>
      </c>
      <c r="P42" s="28" t="str">
        <f t="shared" si="17"/>
        <v/>
      </c>
      <c r="AG42"/>
    </row>
    <row r="43" spans="2:33" x14ac:dyDescent="0.35">
      <c r="B43" s="5" t="s">
        <v>106</v>
      </c>
      <c r="C43" s="6" t="str">
        <f>IF($J$26="&lt;Please Select&gt;","",SUMIFS(flu_eth_ep[fl_staff],flu_eth_ep[Ethnicity],$B43,flu_eth_ep[trust_short],$J$26))</f>
        <v/>
      </c>
      <c r="D43" s="6" t="str">
        <f>IF($J$26="&lt;Please Select&gt;","",SUMIFS(flu_eth_ep[fl_doses],flu_eth_ep[Ethnicity],$B43,flu_eth_ep[trust_short],$J$26))</f>
        <v/>
      </c>
      <c r="E43" s="7" t="str">
        <f t="shared" si="10"/>
        <v/>
      </c>
      <c r="F43" s="2" t="str">
        <f t="shared" si="11"/>
        <v/>
      </c>
      <c r="H43" s="2">
        <v>15</v>
      </c>
      <c r="J43" s="5" t="str">
        <f t="shared" si="12"/>
        <v/>
      </c>
      <c r="K43" s="6" t="str">
        <f t="shared" si="13"/>
        <v/>
      </c>
      <c r="L43" s="6" t="str">
        <f t="shared" si="14"/>
        <v/>
      </c>
      <c r="M43" s="7" t="str">
        <f t="shared" si="15"/>
        <v/>
      </c>
      <c r="O43" s="30" t="str">
        <f t="shared" si="16"/>
        <v/>
      </c>
      <c r="P43" s="28" t="str">
        <f t="shared" si="17"/>
        <v/>
      </c>
      <c r="AG43"/>
    </row>
    <row r="44" spans="2:33" x14ac:dyDescent="0.35">
      <c r="B44" s="5" t="s">
        <v>112</v>
      </c>
      <c r="C44" s="6" t="str">
        <f>IF($J$26="&lt;Please Select&gt;","",SUMIFS(flu_eth_ep[fl_staff],flu_eth_ep[Ethnicity],$B44,flu_eth_ep[trust_short],$J$26))</f>
        <v/>
      </c>
      <c r="D44" s="6" t="str">
        <f>IF($J$26="&lt;Please Select&gt;","",SUMIFS(flu_eth_ep[fl_doses],flu_eth_ep[Ethnicity],$B44,flu_eth_ep[trust_short],$J$26))</f>
        <v/>
      </c>
      <c r="E44" s="7" t="str">
        <f t="shared" si="10"/>
        <v/>
      </c>
      <c r="F44" s="2" t="str">
        <f t="shared" si="11"/>
        <v/>
      </c>
      <c r="H44" s="2">
        <v>16</v>
      </c>
      <c r="J44" s="5" t="str">
        <f t="shared" si="12"/>
        <v/>
      </c>
      <c r="K44" s="6" t="str">
        <f t="shared" si="13"/>
        <v/>
      </c>
      <c r="L44" s="6" t="str">
        <f t="shared" si="14"/>
        <v/>
      </c>
      <c r="M44" s="7" t="str">
        <f t="shared" si="15"/>
        <v/>
      </c>
      <c r="O44" s="30" t="str">
        <f t="shared" si="16"/>
        <v/>
      </c>
      <c r="P44" s="28" t="str">
        <f t="shared" si="17"/>
        <v/>
      </c>
      <c r="AG44"/>
    </row>
    <row r="45" spans="2:33" x14ac:dyDescent="0.35">
      <c r="B45" s="5" t="s">
        <v>36</v>
      </c>
      <c r="C45" s="6" t="str">
        <f>IF($J$26="&lt;Please Select&gt;","",SUMIFS(flu_eth_ep[fl_staff],flu_eth_ep[Ethnicity],$B45,flu_eth_ep[trust_short],$J$26))</f>
        <v/>
      </c>
      <c r="D45" s="6" t="str">
        <f>IF($J$26="&lt;Please Select&gt;","",SUMIFS(flu_eth_ep[fl_doses],flu_eth_ep[Ethnicity],$B45,flu_eth_ep[trust_short],$J$26))</f>
        <v/>
      </c>
      <c r="E45" s="7" t="str">
        <f t="shared" si="10"/>
        <v/>
      </c>
      <c r="F45" s="2" t="str">
        <f t="shared" si="11"/>
        <v/>
      </c>
      <c r="H45" s="2">
        <v>17</v>
      </c>
      <c r="J45" s="5" t="str">
        <f t="shared" si="12"/>
        <v/>
      </c>
      <c r="K45" s="6" t="str">
        <f t="shared" si="13"/>
        <v/>
      </c>
      <c r="L45" s="6" t="str">
        <f t="shared" si="14"/>
        <v/>
      </c>
      <c r="M45" s="7" t="str">
        <f t="shared" si="15"/>
        <v/>
      </c>
      <c r="O45" s="30" t="str">
        <f t="shared" si="16"/>
        <v/>
      </c>
      <c r="P45" s="28" t="str">
        <f t="shared" si="17"/>
        <v/>
      </c>
      <c r="AG45"/>
    </row>
    <row r="46" spans="2:33" x14ac:dyDescent="0.35">
      <c r="AG46"/>
    </row>
    <row r="47" spans="2:33" x14ac:dyDescent="0.35">
      <c r="AG47"/>
    </row>
    <row r="48" spans="2:33" x14ac:dyDescent="0.35">
      <c r="AG48"/>
    </row>
    <row r="49" spans="33:33" x14ac:dyDescent="0.35">
      <c r="AG49"/>
    </row>
    <row r="50" spans="33:33" x14ac:dyDescent="0.35">
      <c r="AG50"/>
    </row>
    <row r="51" spans="33:33" x14ac:dyDescent="0.35">
      <c r="AG51"/>
    </row>
    <row r="52" spans="33:33" x14ac:dyDescent="0.35">
      <c r="AG52"/>
    </row>
    <row r="53" spans="33:33" x14ac:dyDescent="0.35">
      <c r="AG53"/>
    </row>
    <row r="54" spans="33:33" x14ac:dyDescent="0.35">
      <c r="AG54"/>
    </row>
    <row r="55" spans="33:33" x14ac:dyDescent="0.35">
      <c r="AG55"/>
    </row>
    <row r="56" spans="33:33" x14ac:dyDescent="0.35">
      <c r="AG56"/>
    </row>
    <row r="57" spans="33:33" x14ac:dyDescent="0.35">
      <c r="AG57"/>
    </row>
    <row r="58" spans="33:33" x14ac:dyDescent="0.35">
      <c r="AG58"/>
    </row>
    <row r="59" spans="33:33" x14ac:dyDescent="0.35">
      <c r="AG59"/>
    </row>
    <row r="60" spans="33:33" x14ac:dyDescent="0.35">
      <c r="AG60"/>
    </row>
    <row r="61" spans="33:33" x14ac:dyDescent="0.35">
      <c r="AG61"/>
    </row>
    <row r="62" spans="33:33" x14ac:dyDescent="0.35">
      <c r="AG62"/>
    </row>
    <row r="63" spans="33:33" x14ac:dyDescent="0.35">
      <c r="AG63"/>
    </row>
    <row r="64" spans="33:33" x14ac:dyDescent="0.35">
      <c r="AG64"/>
    </row>
    <row r="65" spans="33:33" x14ac:dyDescent="0.35">
      <c r="AG65"/>
    </row>
    <row r="66" spans="33:33" x14ac:dyDescent="0.35">
      <c r="AG66"/>
    </row>
    <row r="67" spans="33:33" x14ac:dyDescent="0.35">
      <c r="AG67"/>
    </row>
    <row r="68" spans="33:33" x14ac:dyDescent="0.35">
      <c r="AG68"/>
    </row>
    <row r="69" spans="33:33" x14ac:dyDescent="0.35">
      <c r="AG69"/>
    </row>
    <row r="70" spans="33:33" x14ac:dyDescent="0.35">
      <c r="AG70"/>
    </row>
    <row r="71" spans="33:33" x14ac:dyDescent="0.35">
      <c r="AG71"/>
    </row>
    <row r="72" spans="33:33" x14ac:dyDescent="0.35">
      <c r="AG72"/>
    </row>
    <row r="73" spans="33:33" x14ac:dyDescent="0.35">
      <c r="AG73"/>
    </row>
    <row r="74" spans="33:33" x14ac:dyDescent="0.35">
      <c r="AG74"/>
    </row>
    <row r="75" spans="33:33" x14ac:dyDescent="0.35">
      <c r="AG75"/>
    </row>
    <row r="76" spans="33:33" x14ac:dyDescent="0.35">
      <c r="AG76"/>
    </row>
    <row r="77" spans="33:33" x14ac:dyDescent="0.35">
      <c r="AG77"/>
    </row>
    <row r="78" spans="33:33" x14ac:dyDescent="0.35">
      <c r="AG78"/>
    </row>
    <row r="79" spans="33:33" x14ac:dyDescent="0.35">
      <c r="AG79"/>
    </row>
    <row r="80" spans="33:33" x14ac:dyDescent="0.35">
      <c r="AG80"/>
    </row>
    <row r="81" spans="33:33" x14ac:dyDescent="0.35">
      <c r="AG81"/>
    </row>
    <row r="82" spans="33:33" x14ac:dyDescent="0.35">
      <c r="AG82"/>
    </row>
    <row r="83" spans="33:33" x14ac:dyDescent="0.35">
      <c r="AG83"/>
    </row>
    <row r="84" spans="33:33" x14ac:dyDescent="0.35">
      <c r="AG84"/>
    </row>
    <row r="85" spans="33:33" x14ac:dyDescent="0.35">
      <c r="AG85"/>
    </row>
    <row r="86" spans="33:33" x14ac:dyDescent="0.35">
      <c r="AG86"/>
    </row>
    <row r="87" spans="33:33" x14ac:dyDescent="0.35">
      <c r="AG87"/>
    </row>
    <row r="88" spans="33:33" x14ac:dyDescent="0.35">
      <c r="AG88"/>
    </row>
    <row r="89" spans="33:33" x14ac:dyDescent="0.35">
      <c r="AG89"/>
    </row>
    <row r="90" spans="33:33" x14ac:dyDescent="0.35">
      <c r="AG90"/>
    </row>
    <row r="91" spans="33:33" x14ac:dyDescent="0.35">
      <c r="AG91"/>
    </row>
    <row r="92" spans="33:33" x14ac:dyDescent="0.35">
      <c r="AG92"/>
    </row>
    <row r="93" spans="33:33" x14ac:dyDescent="0.35">
      <c r="AG93"/>
    </row>
    <row r="94" spans="33:33" x14ac:dyDescent="0.35">
      <c r="AG94"/>
    </row>
    <row r="95" spans="33:33" x14ac:dyDescent="0.35">
      <c r="AG95"/>
    </row>
    <row r="96" spans="33:33" x14ac:dyDescent="0.35">
      <c r="AG96"/>
    </row>
    <row r="97" spans="33:33" x14ac:dyDescent="0.35">
      <c r="AG97"/>
    </row>
    <row r="98" spans="33:33" x14ac:dyDescent="0.35">
      <c r="AG98"/>
    </row>
    <row r="99" spans="33:33" x14ac:dyDescent="0.35">
      <c r="AG99"/>
    </row>
    <row r="100" spans="33:33" x14ac:dyDescent="0.35">
      <c r="AG100"/>
    </row>
    <row r="101" spans="33:33" x14ac:dyDescent="0.35">
      <c r="AG101"/>
    </row>
    <row r="102" spans="33:33" x14ac:dyDescent="0.35">
      <c r="AG102"/>
    </row>
    <row r="103" spans="33:33" x14ac:dyDescent="0.35">
      <c r="AG103"/>
    </row>
    <row r="104" spans="33:33" x14ac:dyDescent="0.35">
      <c r="AG104"/>
    </row>
    <row r="105" spans="33:33" x14ac:dyDescent="0.35">
      <c r="AG105"/>
    </row>
    <row r="106" spans="33:33" x14ac:dyDescent="0.35">
      <c r="AG106"/>
    </row>
    <row r="107" spans="33:33" x14ac:dyDescent="0.35">
      <c r="AG107"/>
    </row>
    <row r="108" spans="33:33" x14ac:dyDescent="0.35">
      <c r="AG108"/>
    </row>
    <row r="109" spans="33:33" x14ac:dyDescent="0.35">
      <c r="AG109"/>
    </row>
    <row r="110" spans="33:33" x14ac:dyDescent="0.35">
      <c r="AG110"/>
    </row>
    <row r="111" spans="33:33" x14ac:dyDescent="0.35">
      <c r="AG111"/>
    </row>
    <row r="112" spans="33:33" x14ac:dyDescent="0.35">
      <c r="AG112"/>
    </row>
    <row r="113" spans="33:33" x14ac:dyDescent="0.35">
      <c r="AG113"/>
    </row>
    <row r="114" spans="33:33" x14ac:dyDescent="0.35">
      <c r="AG114"/>
    </row>
    <row r="115" spans="33:33" x14ac:dyDescent="0.35">
      <c r="AG115"/>
    </row>
    <row r="116" spans="33:33" x14ac:dyDescent="0.35">
      <c r="AG116"/>
    </row>
    <row r="117" spans="33:33" x14ac:dyDescent="0.35">
      <c r="AG117"/>
    </row>
    <row r="118" spans="33:33" x14ac:dyDescent="0.35">
      <c r="AG118"/>
    </row>
    <row r="119" spans="33:33" x14ac:dyDescent="0.35">
      <c r="AG119"/>
    </row>
    <row r="120" spans="33:33" x14ac:dyDescent="0.35">
      <c r="AG120"/>
    </row>
    <row r="121" spans="33:33" x14ac:dyDescent="0.35">
      <c r="AG121"/>
    </row>
    <row r="122" spans="33:33" x14ac:dyDescent="0.35">
      <c r="AG122"/>
    </row>
    <row r="123" spans="33:33" x14ac:dyDescent="0.35">
      <c r="AG123"/>
    </row>
    <row r="124" spans="33:33" x14ac:dyDescent="0.35">
      <c r="AG124"/>
    </row>
    <row r="125" spans="33:33" x14ac:dyDescent="0.35">
      <c r="AG125"/>
    </row>
    <row r="126" spans="33:33" x14ac:dyDescent="0.35">
      <c r="AG126"/>
    </row>
    <row r="127" spans="33:33" x14ac:dyDescent="0.35">
      <c r="AG127"/>
    </row>
    <row r="128" spans="33:33" x14ac:dyDescent="0.35">
      <c r="AG128"/>
    </row>
    <row r="129" spans="33:33" x14ac:dyDescent="0.35">
      <c r="AG129"/>
    </row>
    <row r="130" spans="33:33" x14ac:dyDescent="0.35">
      <c r="AG130"/>
    </row>
    <row r="131" spans="33:33" x14ac:dyDescent="0.35">
      <c r="AG131"/>
    </row>
    <row r="132" spans="33:33" x14ac:dyDescent="0.35">
      <c r="AG132"/>
    </row>
    <row r="133" spans="33:33" x14ac:dyDescent="0.35">
      <c r="AG133"/>
    </row>
    <row r="134" spans="33:33" x14ac:dyDescent="0.35">
      <c r="AG134"/>
    </row>
    <row r="135" spans="33:33" x14ac:dyDescent="0.35">
      <c r="AG135"/>
    </row>
    <row r="136" spans="33:33" x14ac:dyDescent="0.35">
      <c r="AG136"/>
    </row>
    <row r="137" spans="33:33" x14ac:dyDescent="0.35">
      <c r="AG137"/>
    </row>
    <row r="138" spans="33:33" x14ac:dyDescent="0.35">
      <c r="AG138"/>
    </row>
    <row r="139" spans="33:33" x14ac:dyDescent="0.35">
      <c r="AG139"/>
    </row>
    <row r="140" spans="33:33" x14ac:dyDescent="0.35">
      <c r="AG140"/>
    </row>
    <row r="141" spans="33:33" x14ac:dyDescent="0.35">
      <c r="AG141"/>
    </row>
    <row r="142" spans="33:33" x14ac:dyDescent="0.35">
      <c r="AG142"/>
    </row>
    <row r="143" spans="33:33" x14ac:dyDescent="0.35">
      <c r="AG143"/>
    </row>
    <row r="144" spans="33:33" x14ac:dyDescent="0.35">
      <c r="AG144"/>
    </row>
    <row r="145" spans="33:33" x14ac:dyDescent="0.35">
      <c r="AG145"/>
    </row>
    <row r="146" spans="33:33" x14ac:dyDescent="0.35">
      <c r="AG146"/>
    </row>
    <row r="147" spans="33:33" x14ac:dyDescent="0.35">
      <c r="AG147"/>
    </row>
    <row r="148" spans="33:33" x14ac:dyDescent="0.35">
      <c r="AG148"/>
    </row>
    <row r="149" spans="33:33" x14ac:dyDescent="0.35">
      <c r="AG149"/>
    </row>
    <row r="150" spans="33:33" x14ac:dyDescent="0.35">
      <c r="AG150"/>
    </row>
    <row r="151" spans="33:33" x14ac:dyDescent="0.35">
      <c r="AG151"/>
    </row>
    <row r="152" spans="33:33" x14ac:dyDescent="0.35">
      <c r="AG152"/>
    </row>
    <row r="153" spans="33:33" x14ac:dyDescent="0.35">
      <c r="AG153"/>
    </row>
    <row r="154" spans="33:33" x14ac:dyDescent="0.35">
      <c r="AG154"/>
    </row>
    <row r="155" spans="33:33" x14ac:dyDescent="0.35">
      <c r="AG155"/>
    </row>
    <row r="156" spans="33:33" x14ac:dyDescent="0.35">
      <c r="AG156"/>
    </row>
    <row r="157" spans="33:33" x14ac:dyDescent="0.35">
      <c r="AG157"/>
    </row>
    <row r="158" spans="33:33" x14ac:dyDescent="0.35">
      <c r="AG158"/>
    </row>
    <row r="159" spans="33:33" x14ac:dyDescent="0.35">
      <c r="AG159"/>
    </row>
    <row r="160" spans="33:33" x14ac:dyDescent="0.35">
      <c r="AG160"/>
    </row>
    <row r="161" spans="33:33" x14ac:dyDescent="0.35">
      <c r="AG161"/>
    </row>
    <row r="162" spans="33:33" x14ac:dyDescent="0.35">
      <c r="AG162"/>
    </row>
    <row r="163" spans="33:33" x14ac:dyDescent="0.35">
      <c r="AG163"/>
    </row>
    <row r="164" spans="33:33" x14ac:dyDescent="0.35">
      <c r="AG164"/>
    </row>
    <row r="165" spans="33:33" x14ac:dyDescent="0.35">
      <c r="AG165"/>
    </row>
    <row r="166" spans="33:33" x14ac:dyDescent="0.35">
      <c r="AG166"/>
    </row>
    <row r="167" spans="33:33" x14ac:dyDescent="0.35">
      <c r="AG167"/>
    </row>
    <row r="168" spans="33:33" x14ac:dyDescent="0.35">
      <c r="AG168"/>
    </row>
    <row r="169" spans="33:33" x14ac:dyDescent="0.35">
      <c r="AG169"/>
    </row>
    <row r="170" spans="33:33" x14ac:dyDescent="0.35">
      <c r="AG170"/>
    </row>
    <row r="171" spans="33:33" x14ac:dyDescent="0.35">
      <c r="AG171"/>
    </row>
    <row r="172" spans="33:33" x14ac:dyDescent="0.35">
      <c r="AG172"/>
    </row>
    <row r="173" spans="33:33" x14ac:dyDescent="0.35">
      <c r="AG173"/>
    </row>
    <row r="174" spans="33:33" x14ac:dyDescent="0.35">
      <c r="AG174"/>
    </row>
    <row r="175" spans="33:33" x14ac:dyDescent="0.35">
      <c r="AG175"/>
    </row>
    <row r="176" spans="33:33" x14ac:dyDescent="0.35">
      <c r="AG176"/>
    </row>
    <row r="177" spans="33:33" x14ac:dyDescent="0.35">
      <c r="AG177"/>
    </row>
    <row r="178" spans="33:33" x14ac:dyDescent="0.35">
      <c r="AG178"/>
    </row>
    <row r="179" spans="33:33" x14ac:dyDescent="0.35">
      <c r="AG179"/>
    </row>
    <row r="180" spans="33:33" x14ac:dyDescent="0.35">
      <c r="AG180"/>
    </row>
    <row r="181" spans="33:33" x14ac:dyDescent="0.35">
      <c r="AG181"/>
    </row>
    <row r="182" spans="33:33" x14ac:dyDescent="0.35">
      <c r="AG182"/>
    </row>
    <row r="183" spans="33:33" x14ac:dyDescent="0.35">
      <c r="AG183"/>
    </row>
    <row r="184" spans="33:33" x14ac:dyDescent="0.35">
      <c r="AG184"/>
    </row>
    <row r="185" spans="33:33" x14ac:dyDescent="0.35">
      <c r="AG185"/>
    </row>
    <row r="186" spans="33:33" x14ac:dyDescent="0.35">
      <c r="AG186"/>
    </row>
    <row r="187" spans="33:33" x14ac:dyDescent="0.35">
      <c r="AG187"/>
    </row>
    <row r="188" spans="33:33" x14ac:dyDescent="0.35">
      <c r="AG188"/>
    </row>
    <row r="189" spans="33:33" x14ac:dyDescent="0.35">
      <c r="AG189"/>
    </row>
    <row r="190" spans="33:33" x14ac:dyDescent="0.35">
      <c r="AG190"/>
    </row>
    <row r="191" spans="33:33" x14ac:dyDescent="0.35">
      <c r="AG191"/>
    </row>
    <row r="192" spans="33:33" x14ac:dyDescent="0.35">
      <c r="AG192"/>
    </row>
    <row r="193" spans="33:33" x14ac:dyDescent="0.35">
      <c r="AG193"/>
    </row>
    <row r="194" spans="33:33" x14ac:dyDescent="0.35">
      <c r="AG194"/>
    </row>
    <row r="195" spans="33:33" x14ac:dyDescent="0.35">
      <c r="AG195"/>
    </row>
    <row r="196" spans="33:33" x14ac:dyDescent="0.35">
      <c r="AG196"/>
    </row>
    <row r="197" spans="33:33" x14ac:dyDescent="0.35">
      <c r="AG197"/>
    </row>
    <row r="198" spans="33:33" x14ac:dyDescent="0.35">
      <c r="AG198"/>
    </row>
    <row r="199" spans="33:33" x14ac:dyDescent="0.35">
      <c r="AG199"/>
    </row>
    <row r="200" spans="33:33" x14ac:dyDescent="0.35">
      <c r="AG200"/>
    </row>
    <row r="201" spans="33:33" x14ac:dyDescent="0.35">
      <c r="AG201"/>
    </row>
    <row r="202" spans="33:33" x14ac:dyDescent="0.35">
      <c r="AG202"/>
    </row>
    <row r="203" spans="33:33" x14ac:dyDescent="0.35">
      <c r="AG203"/>
    </row>
    <row r="204" spans="33:33" x14ac:dyDescent="0.35">
      <c r="AG204"/>
    </row>
    <row r="205" spans="33:33" x14ac:dyDescent="0.35">
      <c r="AG205"/>
    </row>
    <row r="206" spans="33:33" x14ac:dyDescent="0.35">
      <c r="AG206"/>
    </row>
    <row r="207" spans="33:33" x14ac:dyDescent="0.35">
      <c r="AG207"/>
    </row>
    <row r="208" spans="33:33" x14ac:dyDescent="0.35">
      <c r="AG208"/>
    </row>
    <row r="209" spans="33:33" x14ac:dyDescent="0.35">
      <c r="AG209"/>
    </row>
    <row r="210" spans="33:33" x14ac:dyDescent="0.35">
      <c r="AG210"/>
    </row>
    <row r="211" spans="33:33" x14ac:dyDescent="0.35">
      <c r="AG211"/>
    </row>
    <row r="212" spans="33:33" x14ac:dyDescent="0.35">
      <c r="AG212"/>
    </row>
    <row r="213" spans="33:33" x14ac:dyDescent="0.35">
      <c r="AG213"/>
    </row>
    <row r="214" spans="33:33" x14ac:dyDescent="0.35">
      <c r="AG214"/>
    </row>
    <row r="215" spans="33:33" x14ac:dyDescent="0.35">
      <c r="AG215"/>
    </row>
    <row r="216" spans="33:33" x14ac:dyDescent="0.35">
      <c r="AG216"/>
    </row>
    <row r="217" spans="33:33" x14ac:dyDescent="0.35">
      <c r="AG217"/>
    </row>
    <row r="218" spans="33:33" x14ac:dyDescent="0.35">
      <c r="AG218"/>
    </row>
    <row r="219" spans="33:33" x14ac:dyDescent="0.35">
      <c r="AG219"/>
    </row>
    <row r="220" spans="33:33" x14ac:dyDescent="0.35">
      <c r="AG220"/>
    </row>
    <row r="221" spans="33:33" x14ac:dyDescent="0.35">
      <c r="AG221"/>
    </row>
    <row r="222" spans="33:33" x14ac:dyDescent="0.35">
      <c r="AG222"/>
    </row>
    <row r="223" spans="33:33" x14ac:dyDescent="0.35">
      <c r="AG223"/>
    </row>
    <row r="224" spans="33:33" x14ac:dyDescent="0.35">
      <c r="AG224"/>
    </row>
    <row r="225" spans="33:33" x14ac:dyDescent="0.35">
      <c r="AG225"/>
    </row>
    <row r="226" spans="33:33" x14ac:dyDescent="0.35">
      <c r="AG226"/>
    </row>
    <row r="227" spans="33:33" x14ac:dyDescent="0.35">
      <c r="AG227"/>
    </row>
    <row r="228" spans="33:33" x14ac:dyDescent="0.35">
      <c r="AG228"/>
    </row>
    <row r="229" spans="33:33" x14ac:dyDescent="0.35">
      <c r="AG229"/>
    </row>
    <row r="230" spans="33:33" x14ac:dyDescent="0.35">
      <c r="AG230"/>
    </row>
    <row r="231" spans="33:33" x14ac:dyDescent="0.35">
      <c r="AG231"/>
    </row>
    <row r="232" spans="33:33" x14ac:dyDescent="0.35">
      <c r="AG232"/>
    </row>
    <row r="233" spans="33:33" x14ac:dyDescent="0.35">
      <c r="AG233"/>
    </row>
    <row r="234" spans="33:33" x14ac:dyDescent="0.35">
      <c r="AG234"/>
    </row>
    <row r="235" spans="33:33" x14ac:dyDescent="0.35">
      <c r="AG235"/>
    </row>
    <row r="236" spans="33:33" x14ac:dyDescent="0.35">
      <c r="AG236"/>
    </row>
    <row r="237" spans="33:33" x14ac:dyDescent="0.35">
      <c r="AG237"/>
    </row>
    <row r="238" spans="33:33" x14ac:dyDescent="0.35">
      <c r="AG238"/>
    </row>
    <row r="239" spans="33:33" x14ac:dyDescent="0.35">
      <c r="AG239"/>
    </row>
    <row r="240" spans="33:33" x14ac:dyDescent="0.35">
      <c r="AG240"/>
    </row>
    <row r="241" spans="33:33" x14ac:dyDescent="0.35">
      <c r="AG241"/>
    </row>
    <row r="242" spans="33:33" x14ac:dyDescent="0.35">
      <c r="AG242"/>
    </row>
    <row r="243" spans="33:33" x14ac:dyDescent="0.35">
      <c r="AG243"/>
    </row>
    <row r="244" spans="33:33" x14ac:dyDescent="0.35">
      <c r="AG244"/>
    </row>
    <row r="245" spans="33:33" x14ac:dyDescent="0.35">
      <c r="AG245"/>
    </row>
    <row r="246" spans="33:33" x14ac:dyDescent="0.35">
      <c r="AG246"/>
    </row>
    <row r="247" spans="33:33" x14ac:dyDescent="0.35">
      <c r="AG247"/>
    </row>
    <row r="248" spans="33:33" x14ac:dyDescent="0.35">
      <c r="AG248"/>
    </row>
    <row r="249" spans="33:33" x14ac:dyDescent="0.35">
      <c r="AG249"/>
    </row>
    <row r="250" spans="33:33" x14ac:dyDescent="0.35">
      <c r="AG250"/>
    </row>
    <row r="251" spans="33:33" x14ac:dyDescent="0.35">
      <c r="AG251"/>
    </row>
    <row r="252" spans="33:33" x14ac:dyDescent="0.35">
      <c r="AG252"/>
    </row>
    <row r="253" spans="33:33" x14ac:dyDescent="0.35">
      <c r="AG253"/>
    </row>
    <row r="254" spans="33:33" x14ac:dyDescent="0.35">
      <c r="AG254"/>
    </row>
    <row r="255" spans="33:33" x14ac:dyDescent="0.35">
      <c r="AG255"/>
    </row>
    <row r="256" spans="33:33" x14ac:dyDescent="0.35">
      <c r="AG256"/>
    </row>
    <row r="257" spans="33:33" x14ac:dyDescent="0.35">
      <c r="AG257"/>
    </row>
    <row r="258" spans="33:33" x14ac:dyDescent="0.35">
      <c r="AG258"/>
    </row>
    <row r="259" spans="33:33" x14ac:dyDescent="0.35">
      <c r="AG259"/>
    </row>
    <row r="260" spans="33:33" x14ac:dyDescent="0.35">
      <c r="AG260"/>
    </row>
    <row r="261" spans="33:33" x14ac:dyDescent="0.35">
      <c r="AG261"/>
    </row>
    <row r="262" spans="33:33" x14ac:dyDescent="0.35">
      <c r="AG262"/>
    </row>
    <row r="263" spans="33:33" x14ac:dyDescent="0.35">
      <c r="AG263"/>
    </row>
    <row r="264" spans="33:33" x14ac:dyDescent="0.35">
      <c r="AG264"/>
    </row>
    <row r="265" spans="33:33" x14ac:dyDescent="0.35">
      <c r="AG265"/>
    </row>
    <row r="266" spans="33:33" x14ac:dyDescent="0.35">
      <c r="AG266"/>
    </row>
    <row r="267" spans="33:33" x14ac:dyDescent="0.35">
      <c r="AG267"/>
    </row>
    <row r="268" spans="33:33" x14ac:dyDescent="0.35">
      <c r="AG268"/>
    </row>
    <row r="269" spans="33:33" x14ac:dyDescent="0.35">
      <c r="AG269"/>
    </row>
    <row r="270" spans="33:33" x14ac:dyDescent="0.35">
      <c r="AG270"/>
    </row>
    <row r="271" spans="33:33" x14ac:dyDescent="0.35">
      <c r="AG271"/>
    </row>
    <row r="272" spans="33:33" x14ac:dyDescent="0.35">
      <c r="AG272"/>
    </row>
    <row r="273" spans="33:33" x14ac:dyDescent="0.35">
      <c r="AG273"/>
    </row>
    <row r="274" spans="33:33" x14ac:dyDescent="0.35">
      <c r="AG274"/>
    </row>
    <row r="275" spans="33:33" x14ac:dyDescent="0.35">
      <c r="AG275"/>
    </row>
    <row r="276" spans="33:33" x14ac:dyDescent="0.35">
      <c r="AG276"/>
    </row>
  </sheetData>
  <conditionalFormatting sqref="E5:E21">
    <cfRule type="colorScale" priority="5">
      <colorScale>
        <cfvo type="min"/>
        <cfvo type="max"/>
        <color rgb="FFFFEF9C"/>
        <color rgb="FF63BE7B"/>
      </colorScale>
    </cfRule>
  </conditionalFormatting>
  <conditionalFormatting sqref="E29:E45">
    <cfRule type="colorScale" priority="2">
      <colorScale>
        <cfvo type="min"/>
        <cfvo type="max"/>
        <color rgb="FFFFEF9C"/>
        <color rgb="FF63BE7B"/>
      </colorScale>
    </cfRule>
  </conditionalFormatting>
  <conditionalFormatting sqref="M5:M21">
    <cfRule type="colorScale" priority="3">
      <colorScale>
        <cfvo type="min"/>
        <cfvo type="max"/>
        <color rgb="FFFFEF9C"/>
        <color rgb="FF63BE7B"/>
      </colorScale>
    </cfRule>
  </conditionalFormatting>
  <conditionalFormatting sqref="M29:M45">
    <cfRule type="colorScale" priority="1">
      <colorScale>
        <cfvo type="min"/>
        <cfvo type="max"/>
        <color rgb="FFFFEF9C"/>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4E397644-E5B8-4C81-A2AA-61E37C7A0331}">
          <x14:formula1>
            <xm:f>data1!$AM$4:$AM$36</xm:f>
          </x14:formula1>
          <xm:sqref>J26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DD12-CEF9-4098-BE6C-6BF454189ABF}">
  <sheetPr>
    <tabColor theme="8"/>
  </sheetPr>
  <dimension ref="A2:AG262"/>
  <sheetViews>
    <sheetView showGridLines="0" topLeftCell="I1" zoomScale="80" zoomScaleNormal="80" workbookViewId="0">
      <selection activeCell="I1" sqref="I1"/>
    </sheetView>
  </sheetViews>
  <sheetFormatPr defaultColWidth="8.81640625" defaultRowHeight="14.5" outlineLevelCol="1" x14ac:dyDescent="0.35"/>
  <cols>
    <col min="1" max="1" width="8.54296875" style="2" hidden="1" customWidth="1" outlineLevel="1"/>
    <col min="2" max="2" width="46.81640625" style="2" hidden="1" customWidth="1" outlineLevel="1"/>
    <col min="3" max="5" width="11.54296875" style="2" hidden="1" customWidth="1" outlineLevel="1"/>
    <col min="6" max="8" width="9.1796875" style="2" hidden="1" customWidth="1" outlineLevel="1"/>
    <col min="9" max="9" width="8.54296875" style="2" customWidth="1" collapsed="1"/>
    <col min="10" max="10" width="44.54296875" style="2" customWidth="1"/>
    <col min="11" max="13" width="11.54296875" style="2" customWidth="1"/>
    <col min="14" max="14" width="0.81640625" style="2" customWidth="1"/>
    <col min="15" max="16" width="11.54296875" style="2" customWidth="1"/>
    <col min="17" max="30" width="8.81640625" style="2"/>
    <col min="31" max="31" width="17.54296875" style="2" customWidth="1"/>
    <col min="32" max="16384" width="8.81640625" style="2"/>
  </cols>
  <sheetData>
    <row r="2" spans="2:33" ht="26" x14ac:dyDescent="0.6">
      <c r="J2" s="11" t="s">
        <v>644</v>
      </c>
    </row>
    <row r="4" spans="2:33" ht="43.5" x14ac:dyDescent="0.35">
      <c r="B4" s="4" t="s">
        <v>660</v>
      </c>
      <c r="C4" s="50" t="s">
        <v>606</v>
      </c>
      <c r="D4" s="50" t="s">
        <v>540</v>
      </c>
      <c r="E4" s="50" t="s">
        <v>541</v>
      </c>
      <c r="J4" s="4" t="s">
        <v>660</v>
      </c>
      <c r="K4" s="50" t="s">
        <v>606</v>
      </c>
      <c r="L4" s="50" t="s">
        <v>540</v>
      </c>
      <c r="M4" s="50" t="s">
        <v>541</v>
      </c>
      <c r="O4" s="47" t="s">
        <v>642</v>
      </c>
      <c r="P4" s="47" t="s">
        <v>643</v>
      </c>
      <c r="AA4"/>
    </row>
    <row r="5" spans="2:33" x14ac:dyDescent="0.35">
      <c r="B5" s="5" t="s">
        <v>650</v>
      </c>
      <c r="C5" s="6">
        <f>SUMIFS(age_group[flhcw],age_group[age_group],$B5)</f>
        <v>8130</v>
      </c>
      <c r="D5" s="6">
        <f>SUMIFS(age_group[vve],age_group[age_group],$B5)</f>
        <v>2268</v>
      </c>
      <c r="E5" s="7">
        <f>D5/C5</f>
        <v>0.27896678966789668</v>
      </c>
      <c r="F5" s="2">
        <f>_xlfn.RANK.EQ(E5,$E$5:$E$14,0)</f>
        <v>10</v>
      </c>
      <c r="H5" s="2">
        <v>1</v>
      </c>
      <c r="J5" s="5" t="str">
        <f>INDEX(B$5:B$14,MATCH($H5,$F$5:$F$14,0))</f>
        <v>Over 65</v>
      </c>
      <c r="K5" s="6">
        <f>INDEX(C$5:C$14,MATCH($H5,$F$5:$F$14,0))</f>
        <v>7484</v>
      </c>
      <c r="L5" s="6">
        <f>INDEX(D$5:D$14,MATCH($H5,$F$5:$F$14,0))</f>
        <v>4476</v>
      </c>
      <c r="M5" s="7">
        <f>INDEX(E$5:E$14,MATCH($H5,$F$5:$F$14,0))</f>
        <v>0.5980758952431855</v>
      </c>
      <c r="O5" s="30">
        <f t="shared" ref="O5:O14" si="0">0.6-M5</f>
        <v>1.924104756814482E-3</v>
      </c>
      <c r="P5" s="28">
        <f t="shared" ref="P5:P14" si="1">(K5*0.6)-L5</f>
        <v>14.399999999999636</v>
      </c>
      <c r="AA5"/>
    </row>
    <row r="6" spans="2:33" x14ac:dyDescent="0.35">
      <c r="B6" s="5" t="s">
        <v>651</v>
      </c>
      <c r="C6" s="6">
        <f>SUMIFS(age_group[flhcw],age_group[age_group],$B6)</f>
        <v>24596</v>
      </c>
      <c r="D6" s="6">
        <f>SUMIFS(age_group[vve],age_group[age_group],$B6)</f>
        <v>8791</v>
      </c>
      <c r="E6" s="7">
        <f t="shared" ref="E6:E14" si="2">D6/C6</f>
        <v>0.35741583997397952</v>
      </c>
      <c r="F6" s="2">
        <f>_xlfn.RANK.EQ(E6,$E$5:$E$14,0)</f>
        <v>9</v>
      </c>
      <c r="H6" s="2">
        <v>2</v>
      </c>
      <c r="J6" s="5" t="str">
        <f>INDEX(B$5:B$14,MATCH($H6,$F$5:$F$14,0))</f>
        <v>61-65</v>
      </c>
      <c r="K6" s="6">
        <f>INDEX(C$5:C$14,MATCH($H6,$F$5:$F$14,0))</f>
        <v>12614</v>
      </c>
      <c r="L6" s="6">
        <f>INDEX(D$5:D$14,MATCH($H6,$F$5:$F$14,0))</f>
        <v>6051</v>
      </c>
      <c r="M6" s="7">
        <f>INDEX(E$5:E$14,MATCH($H6,$F$5:$F$14,0))</f>
        <v>0.47970508958300301</v>
      </c>
      <c r="O6" s="30">
        <f t="shared" si="0"/>
        <v>0.12029491041699697</v>
      </c>
      <c r="P6" s="28">
        <f t="shared" si="1"/>
        <v>1517.3999999999996</v>
      </c>
      <c r="AA6"/>
    </row>
    <row r="7" spans="2:33" x14ac:dyDescent="0.35">
      <c r="B7" s="5" t="s">
        <v>652</v>
      </c>
      <c r="C7" s="6">
        <f>SUMIFS(age_group[flhcw],age_group[age_group],$B7)</f>
        <v>28507</v>
      </c>
      <c r="D7" s="6">
        <f>SUMIFS(age_group[vve],age_group[age_group],$B7)</f>
        <v>10583</v>
      </c>
      <c r="E7" s="7">
        <f t="shared" si="2"/>
        <v>0.37124215105061914</v>
      </c>
      <c r="F7" s="2">
        <f>_xlfn.RANK.EQ(E7,$E$5:$E$14,0)</f>
        <v>7</v>
      </c>
      <c r="H7" s="2">
        <v>3</v>
      </c>
      <c r="J7" s="5" t="str">
        <f>INDEX(B$5:B$14,MATCH($H7,$F$5:$F$14,0))</f>
        <v>56-60</v>
      </c>
      <c r="K7" s="6">
        <f>INDEX(C$5:C$14,MATCH($H7,$F$5:$F$14,0))</f>
        <v>18171</v>
      </c>
      <c r="L7" s="6">
        <f>INDEX(D$5:D$14,MATCH($H7,$F$5:$F$14,0))</f>
        <v>7965</v>
      </c>
      <c r="M7" s="7">
        <f>INDEX(E$5:E$14,MATCH($H7,$F$5:$F$14,0))</f>
        <v>0.43833580980683506</v>
      </c>
      <c r="O7" s="30">
        <f t="shared" si="0"/>
        <v>0.16166419019316491</v>
      </c>
      <c r="P7" s="28">
        <f t="shared" si="1"/>
        <v>2937.6000000000004</v>
      </c>
      <c r="AA7"/>
    </row>
    <row r="8" spans="2:33" x14ac:dyDescent="0.35">
      <c r="B8" s="5" t="s">
        <v>653</v>
      </c>
      <c r="C8" s="6">
        <f>SUMIFS(age_group[flhcw],age_group[age_group],$B8)</f>
        <v>27890</v>
      </c>
      <c r="D8" s="6">
        <f>SUMIFS(age_group[vve],age_group[age_group],$B8)</f>
        <v>10753</v>
      </c>
      <c r="E8" s="7">
        <f t="shared" si="2"/>
        <v>0.38555037647902474</v>
      </c>
      <c r="F8" s="2">
        <f>_xlfn.RANK.EQ(E8,$E$5:$E$14,0)</f>
        <v>5</v>
      </c>
      <c r="H8" s="2">
        <v>4</v>
      </c>
      <c r="J8" s="5" t="str">
        <f>INDEX(B$5:B$14,MATCH($H8,$F$5:$F$14,0))</f>
        <v>51-55</v>
      </c>
      <c r="K8" s="6">
        <f>INDEX(C$5:C$14,MATCH($H8,$F$5:$F$14,0))</f>
        <v>21365</v>
      </c>
      <c r="L8" s="6">
        <f>INDEX(D$5:D$14,MATCH($H8,$F$5:$F$14,0))</f>
        <v>8623</v>
      </c>
      <c r="M8" s="7">
        <f>INDEX(E$5:E$14,MATCH($H8,$F$5:$F$14,0))</f>
        <v>0.40360402527498246</v>
      </c>
      <c r="O8" s="30">
        <f t="shared" si="0"/>
        <v>0.19639597472501752</v>
      </c>
      <c r="P8" s="28">
        <f t="shared" si="1"/>
        <v>4196</v>
      </c>
      <c r="AA8"/>
    </row>
    <row r="9" spans="2:33" x14ac:dyDescent="0.35">
      <c r="B9" s="5" t="s">
        <v>654</v>
      </c>
      <c r="C9" s="6">
        <f>SUMIFS(age_group[flhcw],age_group[age_group],$B9)</f>
        <v>22511</v>
      </c>
      <c r="D9" s="6">
        <f>SUMIFS(age_group[vve],age_group[age_group],$B9)</f>
        <v>8393</v>
      </c>
      <c r="E9" s="7">
        <f t="shared" si="2"/>
        <v>0.37283994491581895</v>
      </c>
      <c r="F9" s="2">
        <f>_xlfn.RANK.EQ(E9,$E$5:$E$14,0)</f>
        <v>6</v>
      </c>
      <c r="H9" s="2">
        <v>5</v>
      </c>
      <c r="J9" s="5" t="str">
        <f>INDEX(B$5:B$14,MATCH($H9,$F$5:$F$14,0))</f>
        <v>36-40</v>
      </c>
      <c r="K9" s="6">
        <f>INDEX(C$5:C$14,MATCH($H9,$F$5:$F$14,0))</f>
        <v>27890</v>
      </c>
      <c r="L9" s="6">
        <f>INDEX(D$5:D$14,MATCH($H9,$F$5:$F$14,0))</f>
        <v>10753</v>
      </c>
      <c r="M9" s="7">
        <f>INDEX(E$5:E$14,MATCH($H9,$F$5:$F$14,0))</f>
        <v>0.38555037647902474</v>
      </c>
      <c r="O9" s="30">
        <f t="shared" si="0"/>
        <v>0.21444962352097524</v>
      </c>
      <c r="P9" s="28">
        <f t="shared" si="1"/>
        <v>5981</v>
      </c>
      <c r="AA9"/>
    </row>
    <row r="10" spans="2:33" x14ac:dyDescent="0.35">
      <c r="B10" s="5" t="s">
        <v>655</v>
      </c>
      <c r="C10" s="6">
        <f>SUMIFS(age_group[flhcw],age_group[age_group],$B10)</f>
        <v>22250</v>
      </c>
      <c r="D10" s="6">
        <f>SUMIFS(age_group[vve],age_group[age_group],$B10)</f>
        <v>8213</v>
      </c>
      <c r="E10" s="7">
        <f t="shared" si="2"/>
        <v>0.36912359550561796</v>
      </c>
      <c r="F10" s="2">
        <f>_xlfn.RANK.EQ(E10,$E$5:$E$14,0)</f>
        <v>8</v>
      </c>
      <c r="H10" s="2">
        <v>6</v>
      </c>
      <c r="J10" s="5" t="str">
        <f>INDEX(B$5:B$14,MATCH($H10,$F$5:$F$14,0))</f>
        <v>41-45</v>
      </c>
      <c r="K10" s="6">
        <f>INDEX(C$5:C$14,MATCH($H10,$F$5:$F$14,0))</f>
        <v>22511</v>
      </c>
      <c r="L10" s="6">
        <f>INDEX(D$5:D$14,MATCH($H10,$F$5:$F$14,0))</f>
        <v>8393</v>
      </c>
      <c r="M10" s="7">
        <f>INDEX(E$5:E$14,MATCH($H10,$F$5:$F$14,0))</f>
        <v>0.37283994491581895</v>
      </c>
      <c r="O10" s="30">
        <f t="shared" si="0"/>
        <v>0.22716005508418102</v>
      </c>
      <c r="P10" s="28">
        <f t="shared" si="1"/>
        <v>5113.6000000000004</v>
      </c>
      <c r="AA10"/>
    </row>
    <row r="11" spans="2:33" x14ac:dyDescent="0.35">
      <c r="B11" s="5" t="s">
        <v>656</v>
      </c>
      <c r="C11" s="6">
        <f>SUMIFS(age_group[flhcw],age_group[age_group],$B11)</f>
        <v>21365</v>
      </c>
      <c r="D11" s="6">
        <f>SUMIFS(age_group[vve],age_group[age_group],$B11)</f>
        <v>8623</v>
      </c>
      <c r="E11" s="7">
        <f t="shared" si="2"/>
        <v>0.40360402527498246</v>
      </c>
      <c r="F11" s="2">
        <f>_xlfn.RANK.EQ(E11,$E$5:$E$14,0)</f>
        <v>4</v>
      </c>
      <c r="H11" s="2">
        <v>7</v>
      </c>
      <c r="J11" s="5" t="str">
        <f>INDEX(B$5:B$14,MATCH($H11,$F$5:$F$14,0))</f>
        <v>31-35</v>
      </c>
      <c r="K11" s="6">
        <f>INDEX(C$5:C$14,MATCH($H11,$F$5:$F$14,0))</f>
        <v>28507</v>
      </c>
      <c r="L11" s="6">
        <f>INDEX(D$5:D$14,MATCH($H11,$F$5:$F$14,0))</f>
        <v>10583</v>
      </c>
      <c r="M11" s="7">
        <f>INDEX(E$5:E$14,MATCH($H11,$F$5:$F$14,0))</f>
        <v>0.37124215105061914</v>
      </c>
      <c r="O11" s="30">
        <f t="shared" si="0"/>
        <v>0.22875784894938084</v>
      </c>
      <c r="P11" s="28">
        <f t="shared" si="1"/>
        <v>6521.2000000000007</v>
      </c>
      <c r="AA11"/>
    </row>
    <row r="12" spans="2:33" x14ac:dyDescent="0.35">
      <c r="B12" s="5" t="s">
        <v>657</v>
      </c>
      <c r="C12" s="6">
        <f>SUMIFS(age_group[flhcw],age_group[age_group],$B12)</f>
        <v>18171</v>
      </c>
      <c r="D12" s="6">
        <f>SUMIFS(age_group[vve],age_group[age_group],$B12)</f>
        <v>7965</v>
      </c>
      <c r="E12" s="7">
        <f t="shared" si="2"/>
        <v>0.43833580980683506</v>
      </c>
      <c r="F12" s="2">
        <f>_xlfn.RANK.EQ(E12,$E$5:$E$14,0)</f>
        <v>3</v>
      </c>
      <c r="H12" s="2">
        <v>8</v>
      </c>
      <c r="J12" s="5" t="str">
        <f>INDEX(B$5:B$14,MATCH($H12,$F$5:$F$14,0))</f>
        <v>46-50</v>
      </c>
      <c r="K12" s="6">
        <f>INDEX(C$5:C$14,MATCH($H12,$F$5:$F$14,0))</f>
        <v>22250</v>
      </c>
      <c r="L12" s="6">
        <f>INDEX(D$5:D$14,MATCH($H12,$F$5:$F$14,0))</f>
        <v>8213</v>
      </c>
      <c r="M12" s="7">
        <f>INDEX(E$5:E$14,MATCH($H12,$F$5:$F$14,0))</f>
        <v>0.36912359550561796</v>
      </c>
      <c r="O12" s="30">
        <f t="shared" si="0"/>
        <v>0.23087640449438201</v>
      </c>
      <c r="P12" s="28">
        <f t="shared" si="1"/>
        <v>5137</v>
      </c>
      <c r="AA12"/>
    </row>
    <row r="13" spans="2:33" x14ac:dyDescent="0.35">
      <c r="B13" s="5" t="s">
        <v>658</v>
      </c>
      <c r="C13" s="6">
        <f>SUMIFS(age_group[flhcw],age_group[age_group],$B13)</f>
        <v>12614</v>
      </c>
      <c r="D13" s="6">
        <f>SUMIFS(age_group[vve],age_group[age_group],$B13)</f>
        <v>6051</v>
      </c>
      <c r="E13" s="7">
        <f t="shared" si="2"/>
        <v>0.47970508958300301</v>
      </c>
      <c r="F13" s="2">
        <f>_xlfn.RANK.EQ(E13,$E$5:$E$14,0)</f>
        <v>2</v>
      </c>
      <c r="H13" s="2">
        <v>9</v>
      </c>
      <c r="J13" s="5" t="str">
        <f>INDEX(B$5:B$14,MATCH($H13,$F$5:$F$14,0))</f>
        <v>26-30</v>
      </c>
      <c r="K13" s="6">
        <f>INDEX(C$5:C$14,MATCH($H13,$F$5:$F$14,0))</f>
        <v>24596</v>
      </c>
      <c r="L13" s="6">
        <f>INDEX(D$5:D$14,MATCH($H13,$F$5:$F$14,0))</f>
        <v>8791</v>
      </c>
      <c r="M13" s="7">
        <f>INDEX(E$5:E$14,MATCH($H13,$F$5:$F$14,0))</f>
        <v>0.35741583997397952</v>
      </c>
      <c r="O13" s="30">
        <f t="shared" si="0"/>
        <v>0.24258416002602046</v>
      </c>
      <c r="P13" s="28">
        <f t="shared" si="1"/>
        <v>5966.5999999999985</v>
      </c>
      <c r="AA13"/>
    </row>
    <row r="14" spans="2:33" x14ac:dyDescent="0.35">
      <c r="B14" s="5" t="s">
        <v>659</v>
      </c>
      <c r="C14" s="6">
        <f>SUMIFS(age_group[flhcw],age_group[age_group],$B14)</f>
        <v>7484</v>
      </c>
      <c r="D14" s="6">
        <f>SUMIFS(age_group[vve],age_group[age_group],$B14)</f>
        <v>4476</v>
      </c>
      <c r="E14" s="7">
        <f t="shared" si="2"/>
        <v>0.5980758952431855</v>
      </c>
      <c r="F14" s="2">
        <f>_xlfn.RANK.EQ(E14,$E$5:$E$14,0)</f>
        <v>1</v>
      </c>
      <c r="H14" s="2">
        <v>10</v>
      </c>
      <c r="J14" s="5" t="str">
        <f>INDEX(B$5:B$14,MATCH($H14,$F$5:$F$14,0))</f>
        <v>18-25</v>
      </c>
      <c r="K14" s="6">
        <f>INDEX(C$5:C$14,MATCH($H14,$F$5:$F$14,0))</f>
        <v>8130</v>
      </c>
      <c r="L14" s="6">
        <f>INDEX(D$5:D$14,MATCH($H14,$F$5:$F$14,0))</f>
        <v>2268</v>
      </c>
      <c r="M14" s="7">
        <f>INDEX(E$5:E$14,MATCH($H14,$F$5:$F$14,0))</f>
        <v>0.27896678966789668</v>
      </c>
      <c r="O14" s="30">
        <f t="shared" si="0"/>
        <v>0.3210332103321033</v>
      </c>
      <c r="P14" s="28">
        <f t="shared" si="1"/>
        <v>2610</v>
      </c>
      <c r="AA14"/>
    </row>
    <row r="15" spans="2:33" x14ac:dyDescent="0.35">
      <c r="AG15"/>
    </row>
    <row r="16" spans="2:33" ht="26" x14ac:dyDescent="0.6">
      <c r="J16" s="11" t="s">
        <v>645</v>
      </c>
      <c r="AG16"/>
    </row>
    <row r="17" spans="2:33" x14ac:dyDescent="0.35">
      <c r="AG17"/>
    </row>
    <row r="18" spans="2:33" x14ac:dyDescent="0.35">
      <c r="J18" s="4" t="s">
        <v>646</v>
      </c>
      <c r="AG18"/>
    </row>
    <row r="19" spans="2:33" x14ac:dyDescent="0.35">
      <c r="J19" s="8" t="s">
        <v>647</v>
      </c>
      <c r="AG19"/>
    </row>
    <row r="20" spans="2:33" x14ac:dyDescent="0.35">
      <c r="AG20"/>
    </row>
    <row r="21" spans="2:33" ht="43.5" x14ac:dyDescent="0.35">
      <c r="B21" s="4" t="s">
        <v>15</v>
      </c>
      <c r="C21" s="50" t="s">
        <v>606</v>
      </c>
      <c r="D21" s="50" t="s">
        <v>540</v>
      </c>
      <c r="E21" s="50" t="s">
        <v>541</v>
      </c>
      <c r="J21" s="4" t="s">
        <v>17</v>
      </c>
      <c r="K21" s="50" t="s">
        <v>606</v>
      </c>
      <c r="L21" s="50" t="s">
        <v>540</v>
      </c>
      <c r="M21" s="50" t="s">
        <v>541</v>
      </c>
      <c r="O21" s="47" t="s">
        <v>642</v>
      </c>
      <c r="P21" s="47" t="s">
        <v>643</v>
      </c>
      <c r="AG21"/>
    </row>
    <row r="22" spans="2:33" x14ac:dyDescent="0.35">
      <c r="B22" s="5" t="s">
        <v>650</v>
      </c>
      <c r="C22" s="6" t="str">
        <f>IF($J$19="&lt;Please Select&gt;","",SUMIFS(age_group[flhcw],age_group[age_group],$B22,age_group[trust_short],$J$19))</f>
        <v/>
      </c>
      <c r="D22" s="6" t="str">
        <f>IF($J$19="&lt;Please Select&gt;","",SUMIFS(age_group[vve],age_group[age_group],$B22,age_group[trust_short],$J$19))</f>
        <v/>
      </c>
      <c r="E22" s="7" t="str">
        <f>IFERROR(D22/C22,"")</f>
        <v/>
      </c>
      <c r="F22" s="2" t="str">
        <f>IFERROR(_xlfn.RANK.EQ(E22,$E$22:$E$31,0),"")</f>
        <v/>
      </c>
      <c r="H22" s="2">
        <v>1</v>
      </c>
      <c r="J22" s="5" t="str">
        <f>IFERROR(INDEX(B$22:B$31,MATCH($H22,$F$22:$F$31,0)),"")</f>
        <v/>
      </c>
      <c r="K22" s="6" t="str">
        <f>IFERROR(INDEX(C$22:C$31,MATCH($H22,$F$22:$F$31,0)),"")</f>
        <v/>
      </c>
      <c r="L22" s="6" t="str">
        <f>IFERROR(INDEX(D$22:D$31,MATCH($H22,$F$22:$F$31,0)),"")</f>
        <v/>
      </c>
      <c r="M22" s="7" t="str">
        <f>IFERROR(INDEX(E$22:E$31,MATCH($H22,$F$22:$F$31,0)),"")</f>
        <v/>
      </c>
      <c r="O22" s="30" t="str">
        <f>IFERROR(0.6-M22,"")</f>
        <v/>
      </c>
      <c r="P22" s="28" t="str">
        <f>IFERROR((K22*0.6)-L22,"")</f>
        <v/>
      </c>
      <c r="AG22"/>
    </row>
    <row r="23" spans="2:33" x14ac:dyDescent="0.35">
      <c r="B23" s="5" t="s">
        <v>651</v>
      </c>
      <c r="C23" s="6" t="str">
        <f>IF($J$19="&lt;Please Select&gt;","",SUMIFS(age_group[flhcw],age_group[age_group],$B23,age_group[trust_short],$J$19))</f>
        <v/>
      </c>
      <c r="D23" s="6" t="str">
        <f>IF($J$19="&lt;Please Select&gt;","",SUMIFS(age_group[vve],age_group[age_group],$B23,age_group[trust_short],$J$19))</f>
        <v/>
      </c>
      <c r="E23" s="7" t="str">
        <f t="shared" ref="E23:E31" si="3">IFERROR(D23/C23,"")</f>
        <v/>
      </c>
      <c r="F23" s="2" t="str">
        <f>IFERROR(_xlfn.RANK.EQ(E23,$E$22:$E$31,0),"")</f>
        <v/>
      </c>
      <c r="H23" s="2">
        <v>2</v>
      </c>
      <c r="J23" s="5" t="str">
        <f>IFERROR(INDEX(B$22:B$31,MATCH($H23,$F$22:$F$31,0)),"")</f>
        <v/>
      </c>
      <c r="K23" s="6" t="str">
        <f>IFERROR(INDEX(C$22:C$31,MATCH($H23,$F$22:$F$31,0)),"")</f>
        <v/>
      </c>
      <c r="L23" s="6" t="str">
        <f>IFERROR(INDEX(D$22:D$31,MATCH($H23,$F$22:$F$31,0)),"")</f>
        <v/>
      </c>
      <c r="M23" s="7" t="str">
        <f>IFERROR(INDEX(E$22:E$31,MATCH($H23,$F$22:$F$31,0)),"")</f>
        <v/>
      </c>
      <c r="O23" s="30" t="str">
        <f t="shared" ref="O23:O31" si="4">IFERROR(0.6-M23,"")</f>
        <v/>
      </c>
      <c r="P23" s="28" t="str">
        <f t="shared" ref="P23:P31" si="5">IFERROR((K23*0.6)-L23,"")</f>
        <v/>
      </c>
      <c r="AG23"/>
    </row>
    <row r="24" spans="2:33" x14ac:dyDescent="0.35">
      <c r="B24" s="5" t="s">
        <v>652</v>
      </c>
      <c r="C24" s="6" t="str">
        <f>IF($J$19="&lt;Please Select&gt;","",SUMIFS(age_group[flhcw],age_group[age_group],$B24,age_group[trust_short],$J$19))</f>
        <v/>
      </c>
      <c r="D24" s="6" t="str">
        <f>IF($J$19="&lt;Please Select&gt;","",SUMIFS(age_group[vve],age_group[age_group],$B24,age_group[trust_short],$J$19))</f>
        <v/>
      </c>
      <c r="E24" s="7" t="str">
        <f t="shared" si="3"/>
        <v/>
      </c>
      <c r="F24" s="2" t="str">
        <f>IFERROR(_xlfn.RANK.EQ(E24,$E$22:$E$31,0),"")</f>
        <v/>
      </c>
      <c r="H24" s="2">
        <v>3</v>
      </c>
      <c r="J24" s="5" t="str">
        <f>IFERROR(INDEX(B$22:B$31,MATCH($H24,$F$22:$F$31,0)),"")</f>
        <v/>
      </c>
      <c r="K24" s="6" t="str">
        <f>IFERROR(INDEX(C$22:C$31,MATCH($H24,$F$22:$F$31,0)),"")</f>
        <v/>
      </c>
      <c r="L24" s="6" t="str">
        <f>IFERROR(INDEX(D$22:D$31,MATCH($H24,$F$22:$F$31,0)),"")</f>
        <v/>
      </c>
      <c r="M24" s="7" t="str">
        <f>IFERROR(INDEX(E$22:E$31,MATCH($H24,$F$22:$F$31,0)),"")</f>
        <v/>
      </c>
      <c r="O24" s="30" t="str">
        <f t="shared" si="4"/>
        <v/>
      </c>
      <c r="P24" s="28" t="str">
        <f t="shared" si="5"/>
        <v/>
      </c>
      <c r="AG24"/>
    </row>
    <row r="25" spans="2:33" x14ac:dyDescent="0.35">
      <c r="B25" s="5" t="s">
        <v>653</v>
      </c>
      <c r="C25" s="6" t="str">
        <f>IF($J$19="&lt;Please Select&gt;","",SUMIFS(age_group[flhcw],age_group[age_group],$B25,age_group[trust_short],$J$19))</f>
        <v/>
      </c>
      <c r="D25" s="6" t="str">
        <f>IF($J$19="&lt;Please Select&gt;","",SUMIFS(age_group[vve],age_group[age_group],$B25,age_group[trust_short],$J$19))</f>
        <v/>
      </c>
      <c r="E25" s="7" t="str">
        <f t="shared" si="3"/>
        <v/>
      </c>
      <c r="F25" s="2" t="str">
        <f>IFERROR(_xlfn.RANK.EQ(E25,$E$22:$E$31,0),"")</f>
        <v/>
      </c>
      <c r="H25" s="2">
        <v>4</v>
      </c>
      <c r="J25" s="5" t="str">
        <f>IFERROR(INDEX(B$22:B$31,MATCH($H25,$F$22:$F$31,0)),"")</f>
        <v/>
      </c>
      <c r="K25" s="6" t="str">
        <f>IFERROR(INDEX(C$22:C$31,MATCH($H25,$F$22:$F$31,0)),"")</f>
        <v/>
      </c>
      <c r="L25" s="6" t="str">
        <f>IFERROR(INDEX(D$22:D$31,MATCH($H25,$F$22:$F$31,0)),"")</f>
        <v/>
      </c>
      <c r="M25" s="7" t="str">
        <f>IFERROR(INDEX(E$22:E$31,MATCH($H25,$F$22:$F$31,0)),"")</f>
        <v/>
      </c>
      <c r="O25" s="30" t="str">
        <f t="shared" si="4"/>
        <v/>
      </c>
      <c r="P25" s="28" t="str">
        <f t="shared" si="5"/>
        <v/>
      </c>
      <c r="AG25"/>
    </row>
    <row r="26" spans="2:33" x14ac:dyDescent="0.35">
      <c r="B26" s="5" t="s">
        <v>654</v>
      </c>
      <c r="C26" s="6" t="str">
        <f>IF($J$19="&lt;Please Select&gt;","",SUMIFS(age_group[flhcw],age_group[age_group],$B26,age_group[trust_short],$J$19))</f>
        <v/>
      </c>
      <c r="D26" s="6" t="str">
        <f>IF($J$19="&lt;Please Select&gt;","",SUMIFS(age_group[vve],age_group[age_group],$B26,age_group[trust_short],$J$19))</f>
        <v/>
      </c>
      <c r="E26" s="7" t="str">
        <f t="shared" si="3"/>
        <v/>
      </c>
      <c r="F26" s="2" t="str">
        <f>IFERROR(_xlfn.RANK.EQ(E26,$E$22:$E$31,0),"")</f>
        <v/>
      </c>
      <c r="H26" s="2">
        <v>5</v>
      </c>
      <c r="J26" s="5" t="str">
        <f>IFERROR(INDEX(B$22:B$31,MATCH($H26,$F$22:$F$31,0)),"")</f>
        <v/>
      </c>
      <c r="K26" s="6" t="str">
        <f>IFERROR(INDEX(C$22:C$31,MATCH($H26,$F$22:$F$31,0)),"")</f>
        <v/>
      </c>
      <c r="L26" s="6" t="str">
        <f>IFERROR(INDEX(D$22:D$31,MATCH($H26,$F$22:$F$31,0)),"")</f>
        <v/>
      </c>
      <c r="M26" s="7" t="str">
        <f>IFERROR(INDEX(E$22:E$31,MATCH($H26,$F$22:$F$31,0)),"")</f>
        <v/>
      </c>
      <c r="O26" s="30" t="str">
        <f t="shared" si="4"/>
        <v/>
      </c>
      <c r="P26" s="28" t="str">
        <f t="shared" si="5"/>
        <v/>
      </c>
      <c r="AG26"/>
    </row>
    <row r="27" spans="2:33" x14ac:dyDescent="0.35">
      <c r="B27" s="5" t="s">
        <v>655</v>
      </c>
      <c r="C27" s="6" t="str">
        <f>IF($J$19="&lt;Please Select&gt;","",SUMIFS(age_group[flhcw],age_group[age_group],$B27,age_group[trust_short],$J$19))</f>
        <v/>
      </c>
      <c r="D27" s="6" t="str">
        <f>IF($J$19="&lt;Please Select&gt;","",SUMIFS(age_group[vve],age_group[age_group],$B27,age_group[trust_short],$J$19))</f>
        <v/>
      </c>
      <c r="E27" s="7" t="str">
        <f t="shared" si="3"/>
        <v/>
      </c>
      <c r="F27" s="2" t="str">
        <f>IFERROR(_xlfn.RANK.EQ(E27,$E$22:$E$31,0),"")</f>
        <v/>
      </c>
      <c r="H27" s="2">
        <v>6</v>
      </c>
      <c r="J27" s="5" t="str">
        <f>IFERROR(INDEX(B$22:B$31,MATCH($H27,$F$22:$F$31,0)),"")</f>
        <v/>
      </c>
      <c r="K27" s="6" t="str">
        <f>IFERROR(INDEX(C$22:C$31,MATCH($H27,$F$22:$F$31,0)),"")</f>
        <v/>
      </c>
      <c r="L27" s="6" t="str">
        <f>IFERROR(INDEX(D$22:D$31,MATCH($H27,$F$22:$F$31,0)),"")</f>
        <v/>
      </c>
      <c r="M27" s="7" t="str">
        <f>IFERROR(INDEX(E$22:E$31,MATCH($H27,$F$22:$F$31,0)),"")</f>
        <v/>
      </c>
      <c r="O27" s="30" t="str">
        <f t="shared" si="4"/>
        <v/>
      </c>
      <c r="P27" s="28" t="str">
        <f t="shared" si="5"/>
        <v/>
      </c>
      <c r="AG27"/>
    </row>
    <row r="28" spans="2:33" x14ac:dyDescent="0.35">
      <c r="B28" s="5" t="s">
        <v>656</v>
      </c>
      <c r="C28" s="6" t="str">
        <f>IF($J$19="&lt;Please Select&gt;","",SUMIFS(age_group[flhcw],age_group[age_group],$B28,age_group[trust_short],$J$19))</f>
        <v/>
      </c>
      <c r="D28" s="6" t="str">
        <f>IF($J$19="&lt;Please Select&gt;","",SUMIFS(age_group[vve],age_group[age_group],$B28,age_group[trust_short],$J$19))</f>
        <v/>
      </c>
      <c r="E28" s="7" t="str">
        <f t="shared" si="3"/>
        <v/>
      </c>
      <c r="F28" s="2" t="str">
        <f>IFERROR(_xlfn.RANK.EQ(E28,$E$22:$E$31,0),"")</f>
        <v/>
      </c>
      <c r="H28" s="2">
        <v>7</v>
      </c>
      <c r="J28" s="5" t="str">
        <f>IFERROR(INDEX(B$22:B$31,MATCH($H28,$F$22:$F$31,0)),"")</f>
        <v/>
      </c>
      <c r="K28" s="6" t="str">
        <f>IFERROR(INDEX(C$22:C$31,MATCH($H28,$F$22:$F$31,0)),"")</f>
        <v/>
      </c>
      <c r="L28" s="6" t="str">
        <f>IFERROR(INDEX(D$22:D$31,MATCH($H28,$F$22:$F$31,0)),"")</f>
        <v/>
      </c>
      <c r="M28" s="7" t="str">
        <f>IFERROR(INDEX(E$22:E$31,MATCH($H28,$F$22:$F$31,0)),"")</f>
        <v/>
      </c>
      <c r="O28" s="30" t="str">
        <f t="shared" si="4"/>
        <v/>
      </c>
      <c r="P28" s="28" t="str">
        <f t="shared" si="5"/>
        <v/>
      </c>
      <c r="AG28"/>
    </row>
    <row r="29" spans="2:33" x14ac:dyDescent="0.35">
      <c r="B29" s="5" t="s">
        <v>657</v>
      </c>
      <c r="C29" s="6" t="str">
        <f>IF($J$19="&lt;Please Select&gt;","",SUMIFS(age_group[flhcw],age_group[age_group],$B29,age_group[trust_short],$J$19))</f>
        <v/>
      </c>
      <c r="D29" s="6" t="str">
        <f>IF($J$19="&lt;Please Select&gt;","",SUMIFS(age_group[vve],age_group[age_group],$B29,age_group[trust_short],$J$19))</f>
        <v/>
      </c>
      <c r="E29" s="7" t="str">
        <f t="shared" si="3"/>
        <v/>
      </c>
      <c r="F29" s="2" t="str">
        <f>IFERROR(_xlfn.RANK.EQ(E29,$E$22:$E$31,0),"")</f>
        <v/>
      </c>
      <c r="H29" s="2">
        <v>8</v>
      </c>
      <c r="J29" s="5" t="str">
        <f>IFERROR(INDEX(B$22:B$31,MATCH($H29,$F$22:$F$31,0)),"")</f>
        <v/>
      </c>
      <c r="K29" s="6" t="str">
        <f>IFERROR(INDEX(C$22:C$31,MATCH($H29,$F$22:$F$31,0)),"")</f>
        <v/>
      </c>
      <c r="L29" s="6" t="str">
        <f>IFERROR(INDEX(D$22:D$31,MATCH($H29,$F$22:$F$31,0)),"")</f>
        <v/>
      </c>
      <c r="M29" s="7" t="str">
        <f>IFERROR(INDEX(E$22:E$31,MATCH($H29,$F$22:$F$31,0)),"")</f>
        <v/>
      </c>
      <c r="O29" s="30" t="str">
        <f t="shared" si="4"/>
        <v/>
      </c>
      <c r="P29" s="28" t="str">
        <f t="shared" si="5"/>
        <v/>
      </c>
      <c r="AG29"/>
    </row>
    <row r="30" spans="2:33" x14ac:dyDescent="0.35">
      <c r="B30" s="5" t="s">
        <v>658</v>
      </c>
      <c r="C30" s="6" t="str">
        <f>IF($J$19="&lt;Please Select&gt;","",SUMIFS(age_group[flhcw],age_group[age_group],$B30,age_group[trust_short],$J$19))</f>
        <v/>
      </c>
      <c r="D30" s="6" t="str">
        <f>IF($J$19="&lt;Please Select&gt;","",SUMIFS(age_group[vve],age_group[age_group],$B30,age_group[trust_short],$J$19))</f>
        <v/>
      </c>
      <c r="E30" s="7" t="str">
        <f t="shared" si="3"/>
        <v/>
      </c>
      <c r="F30" s="2" t="str">
        <f>IFERROR(_xlfn.RANK.EQ(E30,$E$22:$E$31,0),"")</f>
        <v/>
      </c>
      <c r="H30" s="2">
        <v>9</v>
      </c>
      <c r="J30" s="5" t="str">
        <f>IFERROR(INDEX(B$22:B$31,MATCH($H30,$F$22:$F$31,0)),"")</f>
        <v/>
      </c>
      <c r="K30" s="6" t="str">
        <f>IFERROR(INDEX(C$22:C$31,MATCH($H30,$F$22:$F$31,0)),"")</f>
        <v/>
      </c>
      <c r="L30" s="6" t="str">
        <f>IFERROR(INDEX(D$22:D$31,MATCH($H30,$F$22:$F$31,0)),"")</f>
        <v/>
      </c>
      <c r="M30" s="7" t="str">
        <f>IFERROR(INDEX(E$22:E$31,MATCH($H30,$F$22:$F$31,0)),"")</f>
        <v/>
      </c>
      <c r="O30" s="30" t="str">
        <f t="shared" si="4"/>
        <v/>
      </c>
      <c r="P30" s="28" t="str">
        <f t="shared" si="5"/>
        <v/>
      </c>
      <c r="AG30"/>
    </row>
    <row r="31" spans="2:33" x14ac:dyDescent="0.35">
      <c r="B31" s="5" t="s">
        <v>659</v>
      </c>
      <c r="C31" s="6" t="str">
        <f>IF($J$19="&lt;Please Select&gt;","",SUMIFS(age_group[flhcw],age_group[age_group],$B31,age_group[trust_short],$J$19))</f>
        <v/>
      </c>
      <c r="D31" s="6" t="str">
        <f>IF($J$19="&lt;Please Select&gt;","",SUMIFS(age_group[vve],age_group[age_group],$B31,age_group[trust_short],$J$19))</f>
        <v/>
      </c>
      <c r="E31" s="7" t="str">
        <f t="shared" si="3"/>
        <v/>
      </c>
      <c r="F31" s="2" t="str">
        <f>IFERROR(_xlfn.RANK.EQ(E31,$E$22:$E$31,0),"")</f>
        <v/>
      </c>
      <c r="H31" s="2">
        <v>10</v>
      </c>
      <c r="J31" s="5" t="str">
        <f>IFERROR(INDEX(B$22:B$31,MATCH($H31,$F$22:$F$31,0)),"")</f>
        <v/>
      </c>
      <c r="K31" s="6" t="str">
        <f>IFERROR(INDEX(C$22:C$31,MATCH($H31,$F$22:$F$31,0)),"")</f>
        <v/>
      </c>
      <c r="L31" s="6" t="str">
        <f>IFERROR(INDEX(D$22:D$31,MATCH($H31,$F$22:$F$31,0)),"")</f>
        <v/>
      </c>
      <c r="M31" s="7" t="str">
        <f>IFERROR(INDEX(E$22:E$31,MATCH($H31,$F$22:$F$31,0)),"")</f>
        <v/>
      </c>
      <c r="O31" s="30" t="str">
        <f t="shared" si="4"/>
        <v/>
      </c>
      <c r="P31" s="28" t="str">
        <f t="shared" si="5"/>
        <v/>
      </c>
      <c r="AG31"/>
    </row>
    <row r="32" spans="2:33" x14ac:dyDescent="0.35">
      <c r="AG32"/>
    </row>
    <row r="33" spans="33:33" x14ac:dyDescent="0.35">
      <c r="AG33"/>
    </row>
    <row r="34" spans="33:33" x14ac:dyDescent="0.35">
      <c r="AG34"/>
    </row>
    <row r="35" spans="33:33" x14ac:dyDescent="0.35">
      <c r="AG35"/>
    </row>
    <row r="36" spans="33:33" x14ac:dyDescent="0.35">
      <c r="AG36"/>
    </row>
    <row r="37" spans="33:33" x14ac:dyDescent="0.35">
      <c r="AG37"/>
    </row>
    <row r="38" spans="33:33" x14ac:dyDescent="0.35">
      <c r="AG38"/>
    </row>
    <row r="39" spans="33:33" x14ac:dyDescent="0.35">
      <c r="AG39"/>
    </row>
    <row r="40" spans="33:33" x14ac:dyDescent="0.35">
      <c r="AG40"/>
    </row>
    <row r="41" spans="33:33" x14ac:dyDescent="0.35">
      <c r="AG41"/>
    </row>
    <row r="42" spans="33:33" x14ac:dyDescent="0.35">
      <c r="AG42"/>
    </row>
    <row r="43" spans="33:33" x14ac:dyDescent="0.35">
      <c r="AG43"/>
    </row>
    <row r="44" spans="33:33" x14ac:dyDescent="0.35">
      <c r="AG44"/>
    </row>
    <row r="45" spans="33:33" x14ac:dyDescent="0.35">
      <c r="AG45"/>
    </row>
    <row r="46" spans="33:33" x14ac:dyDescent="0.35">
      <c r="AG46"/>
    </row>
    <row r="47" spans="33:33" x14ac:dyDescent="0.35">
      <c r="AG47"/>
    </row>
    <row r="48" spans="33:33" x14ac:dyDescent="0.35">
      <c r="AG48"/>
    </row>
    <row r="49" spans="33:33" x14ac:dyDescent="0.35">
      <c r="AG49"/>
    </row>
    <row r="50" spans="33:33" x14ac:dyDescent="0.35">
      <c r="AG50"/>
    </row>
    <row r="51" spans="33:33" x14ac:dyDescent="0.35">
      <c r="AG51"/>
    </row>
    <row r="52" spans="33:33" x14ac:dyDescent="0.35">
      <c r="AG52"/>
    </row>
    <row r="53" spans="33:33" x14ac:dyDescent="0.35">
      <c r="AG53"/>
    </row>
    <row r="54" spans="33:33" x14ac:dyDescent="0.35">
      <c r="AG54"/>
    </row>
    <row r="55" spans="33:33" x14ac:dyDescent="0.35">
      <c r="AG55"/>
    </row>
    <row r="56" spans="33:33" x14ac:dyDescent="0.35">
      <c r="AG56"/>
    </row>
    <row r="57" spans="33:33" x14ac:dyDescent="0.35">
      <c r="AG57"/>
    </row>
    <row r="58" spans="33:33" x14ac:dyDescent="0.35">
      <c r="AG58"/>
    </row>
    <row r="59" spans="33:33" x14ac:dyDescent="0.35">
      <c r="AG59"/>
    </row>
    <row r="60" spans="33:33" x14ac:dyDescent="0.35">
      <c r="AG60"/>
    </row>
    <row r="61" spans="33:33" x14ac:dyDescent="0.35">
      <c r="AG61"/>
    </row>
    <row r="62" spans="33:33" x14ac:dyDescent="0.35">
      <c r="AG62"/>
    </row>
    <row r="63" spans="33:33" x14ac:dyDescent="0.35">
      <c r="AG63"/>
    </row>
    <row r="64" spans="33:33" x14ac:dyDescent="0.35">
      <c r="AG64"/>
    </row>
    <row r="65" spans="33:33" x14ac:dyDescent="0.35">
      <c r="AG65"/>
    </row>
    <row r="66" spans="33:33" x14ac:dyDescent="0.35">
      <c r="AG66"/>
    </row>
    <row r="67" spans="33:33" x14ac:dyDescent="0.35">
      <c r="AG67"/>
    </row>
    <row r="68" spans="33:33" x14ac:dyDescent="0.35">
      <c r="AG68"/>
    </row>
    <row r="69" spans="33:33" x14ac:dyDescent="0.35">
      <c r="AG69"/>
    </row>
    <row r="70" spans="33:33" x14ac:dyDescent="0.35">
      <c r="AG70"/>
    </row>
    <row r="71" spans="33:33" x14ac:dyDescent="0.35">
      <c r="AG71"/>
    </row>
    <row r="72" spans="33:33" x14ac:dyDescent="0.35">
      <c r="AG72"/>
    </row>
    <row r="73" spans="33:33" x14ac:dyDescent="0.35">
      <c r="AG73"/>
    </row>
    <row r="74" spans="33:33" x14ac:dyDescent="0.35">
      <c r="AG74"/>
    </row>
    <row r="75" spans="33:33" x14ac:dyDescent="0.35">
      <c r="AG75"/>
    </row>
    <row r="76" spans="33:33" x14ac:dyDescent="0.35">
      <c r="AG76"/>
    </row>
    <row r="77" spans="33:33" x14ac:dyDescent="0.35">
      <c r="AG77"/>
    </row>
    <row r="78" spans="33:33" x14ac:dyDescent="0.35">
      <c r="AG78"/>
    </row>
    <row r="79" spans="33:33" x14ac:dyDescent="0.35">
      <c r="AG79"/>
    </row>
    <row r="80" spans="33:33" x14ac:dyDescent="0.35">
      <c r="AG80"/>
    </row>
    <row r="81" spans="33:33" x14ac:dyDescent="0.35">
      <c r="AG81"/>
    </row>
    <row r="82" spans="33:33" x14ac:dyDescent="0.35">
      <c r="AG82"/>
    </row>
    <row r="83" spans="33:33" x14ac:dyDescent="0.35">
      <c r="AG83"/>
    </row>
    <row r="84" spans="33:33" x14ac:dyDescent="0.35">
      <c r="AG84"/>
    </row>
    <row r="85" spans="33:33" x14ac:dyDescent="0.35">
      <c r="AG85"/>
    </row>
    <row r="86" spans="33:33" x14ac:dyDescent="0.35">
      <c r="AG86"/>
    </row>
    <row r="87" spans="33:33" x14ac:dyDescent="0.35">
      <c r="AG87"/>
    </row>
    <row r="88" spans="33:33" x14ac:dyDescent="0.35">
      <c r="AG88"/>
    </row>
    <row r="89" spans="33:33" x14ac:dyDescent="0.35">
      <c r="AG89"/>
    </row>
    <row r="90" spans="33:33" x14ac:dyDescent="0.35">
      <c r="AG90"/>
    </row>
    <row r="91" spans="33:33" x14ac:dyDescent="0.35">
      <c r="AG91"/>
    </row>
    <row r="92" spans="33:33" x14ac:dyDescent="0.35">
      <c r="AG92"/>
    </row>
    <row r="93" spans="33:33" x14ac:dyDescent="0.35">
      <c r="AG93"/>
    </row>
    <row r="94" spans="33:33" x14ac:dyDescent="0.35">
      <c r="AG94"/>
    </row>
    <row r="95" spans="33:33" x14ac:dyDescent="0.35">
      <c r="AG95"/>
    </row>
    <row r="96" spans="33:33" x14ac:dyDescent="0.35">
      <c r="AG96"/>
    </row>
    <row r="97" spans="33:33" x14ac:dyDescent="0.35">
      <c r="AG97"/>
    </row>
    <row r="98" spans="33:33" x14ac:dyDescent="0.35">
      <c r="AG98"/>
    </row>
    <row r="99" spans="33:33" x14ac:dyDescent="0.35">
      <c r="AG99"/>
    </row>
    <row r="100" spans="33:33" x14ac:dyDescent="0.35">
      <c r="AG100"/>
    </row>
    <row r="101" spans="33:33" x14ac:dyDescent="0.35">
      <c r="AG101"/>
    </row>
    <row r="102" spans="33:33" x14ac:dyDescent="0.35">
      <c r="AG102"/>
    </row>
    <row r="103" spans="33:33" x14ac:dyDescent="0.35">
      <c r="AG103"/>
    </row>
    <row r="104" spans="33:33" x14ac:dyDescent="0.35">
      <c r="AG104"/>
    </row>
    <row r="105" spans="33:33" x14ac:dyDescent="0.35">
      <c r="AG105"/>
    </row>
    <row r="106" spans="33:33" x14ac:dyDescent="0.35">
      <c r="AG106"/>
    </row>
    <row r="107" spans="33:33" x14ac:dyDescent="0.35">
      <c r="AG107"/>
    </row>
    <row r="108" spans="33:33" x14ac:dyDescent="0.35">
      <c r="AG108"/>
    </row>
    <row r="109" spans="33:33" x14ac:dyDescent="0.35">
      <c r="AG109"/>
    </row>
    <row r="110" spans="33:33" x14ac:dyDescent="0.35">
      <c r="AG110"/>
    </row>
    <row r="111" spans="33:33" x14ac:dyDescent="0.35">
      <c r="AG111"/>
    </row>
    <row r="112" spans="33:33" x14ac:dyDescent="0.35">
      <c r="AG112"/>
    </row>
    <row r="113" spans="33:33" x14ac:dyDescent="0.35">
      <c r="AG113"/>
    </row>
    <row r="114" spans="33:33" x14ac:dyDescent="0.35">
      <c r="AG114"/>
    </row>
    <row r="115" spans="33:33" x14ac:dyDescent="0.35">
      <c r="AG115"/>
    </row>
    <row r="116" spans="33:33" x14ac:dyDescent="0.35">
      <c r="AG116"/>
    </row>
    <row r="117" spans="33:33" x14ac:dyDescent="0.35">
      <c r="AG117"/>
    </row>
    <row r="118" spans="33:33" x14ac:dyDescent="0.35">
      <c r="AG118"/>
    </row>
    <row r="119" spans="33:33" x14ac:dyDescent="0.35">
      <c r="AG119"/>
    </row>
    <row r="120" spans="33:33" x14ac:dyDescent="0.35">
      <c r="AG120"/>
    </row>
    <row r="121" spans="33:33" x14ac:dyDescent="0.35">
      <c r="AG121"/>
    </row>
    <row r="122" spans="33:33" x14ac:dyDescent="0.35">
      <c r="AG122"/>
    </row>
    <row r="123" spans="33:33" x14ac:dyDescent="0.35">
      <c r="AG123"/>
    </row>
    <row r="124" spans="33:33" x14ac:dyDescent="0.35">
      <c r="AG124"/>
    </row>
    <row r="125" spans="33:33" x14ac:dyDescent="0.35">
      <c r="AG125"/>
    </row>
    <row r="126" spans="33:33" x14ac:dyDescent="0.35">
      <c r="AG126"/>
    </row>
    <row r="127" spans="33:33" x14ac:dyDescent="0.35">
      <c r="AG127"/>
    </row>
    <row r="128" spans="33:33" x14ac:dyDescent="0.35">
      <c r="AG128"/>
    </row>
    <row r="129" spans="33:33" x14ac:dyDescent="0.35">
      <c r="AG129"/>
    </row>
    <row r="130" spans="33:33" x14ac:dyDescent="0.35">
      <c r="AG130"/>
    </row>
    <row r="131" spans="33:33" x14ac:dyDescent="0.35">
      <c r="AG131"/>
    </row>
    <row r="132" spans="33:33" x14ac:dyDescent="0.35">
      <c r="AG132"/>
    </row>
    <row r="133" spans="33:33" x14ac:dyDescent="0.35">
      <c r="AG133"/>
    </row>
    <row r="134" spans="33:33" x14ac:dyDescent="0.35">
      <c r="AG134"/>
    </row>
    <row r="135" spans="33:33" x14ac:dyDescent="0.35">
      <c r="AG135"/>
    </row>
    <row r="136" spans="33:33" x14ac:dyDescent="0.35">
      <c r="AG136"/>
    </row>
    <row r="137" spans="33:33" x14ac:dyDescent="0.35">
      <c r="AG137"/>
    </row>
    <row r="138" spans="33:33" x14ac:dyDescent="0.35">
      <c r="AG138"/>
    </row>
    <row r="139" spans="33:33" x14ac:dyDescent="0.35">
      <c r="AG139"/>
    </row>
    <row r="140" spans="33:33" x14ac:dyDescent="0.35">
      <c r="AG140"/>
    </row>
    <row r="141" spans="33:33" x14ac:dyDescent="0.35">
      <c r="AG141"/>
    </row>
    <row r="142" spans="33:33" x14ac:dyDescent="0.35">
      <c r="AG142"/>
    </row>
    <row r="143" spans="33:33" x14ac:dyDescent="0.35">
      <c r="AG143"/>
    </row>
    <row r="144" spans="33:33" x14ac:dyDescent="0.35">
      <c r="AG144"/>
    </row>
    <row r="145" spans="33:33" x14ac:dyDescent="0.35">
      <c r="AG145"/>
    </row>
    <row r="146" spans="33:33" x14ac:dyDescent="0.35">
      <c r="AG146"/>
    </row>
    <row r="147" spans="33:33" x14ac:dyDescent="0.35">
      <c r="AG147"/>
    </row>
    <row r="148" spans="33:33" x14ac:dyDescent="0.35">
      <c r="AG148"/>
    </row>
    <row r="149" spans="33:33" x14ac:dyDescent="0.35">
      <c r="AG149"/>
    </row>
    <row r="150" spans="33:33" x14ac:dyDescent="0.35">
      <c r="AG150"/>
    </row>
    <row r="151" spans="33:33" x14ac:dyDescent="0.35">
      <c r="AG151"/>
    </row>
    <row r="152" spans="33:33" x14ac:dyDescent="0.35">
      <c r="AG152"/>
    </row>
    <row r="153" spans="33:33" x14ac:dyDescent="0.35">
      <c r="AG153"/>
    </row>
    <row r="154" spans="33:33" x14ac:dyDescent="0.35">
      <c r="AG154"/>
    </row>
    <row r="155" spans="33:33" x14ac:dyDescent="0.35">
      <c r="AG155"/>
    </row>
    <row r="156" spans="33:33" x14ac:dyDescent="0.35">
      <c r="AG156"/>
    </row>
    <row r="157" spans="33:33" x14ac:dyDescent="0.35">
      <c r="AG157"/>
    </row>
    <row r="158" spans="33:33" x14ac:dyDescent="0.35">
      <c r="AG158"/>
    </row>
    <row r="159" spans="33:33" x14ac:dyDescent="0.35">
      <c r="AG159"/>
    </row>
    <row r="160" spans="33:33" x14ac:dyDescent="0.35">
      <c r="AG160"/>
    </row>
    <row r="161" spans="33:33" x14ac:dyDescent="0.35">
      <c r="AG161"/>
    </row>
    <row r="162" spans="33:33" x14ac:dyDescent="0.35">
      <c r="AG162"/>
    </row>
    <row r="163" spans="33:33" x14ac:dyDescent="0.35">
      <c r="AG163"/>
    </row>
    <row r="164" spans="33:33" x14ac:dyDescent="0.35">
      <c r="AG164"/>
    </row>
    <row r="165" spans="33:33" x14ac:dyDescent="0.35">
      <c r="AG165"/>
    </row>
    <row r="166" spans="33:33" x14ac:dyDescent="0.35">
      <c r="AG166"/>
    </row>
    <row r="167" spans="33:33" x14ac:dyDescent="0.35">
      <c r="AG167"/>
    </row>
    <row r="168" spans="33:33" x14ac:dyDescent="0.35">
      <c r="AG168"/>
    </row>
    <row r="169" spans="33:33" x14ac:dyDescent="0.35">
      <c r="AG169"/>
    </row>
    <row r="170" spans="33:33" x14ac:dyDescent="0.35">
      <c r="AG170"/>
    </row>
    <row r="171" spans="33:33" x14ac:dyDescent="0.35">
      <c r="AG171"/>
    </row>
    <row r="172" spans="33:33" x14ac:dyDescent="0.35">
      <c r="AG172"/>
    </row>
    <row r="173" spans="33:33" x14ac:dyDescent="0.35">
      <c r="AG173"/>
    </row>
    <row r="174" spans="33:33" x14ac:dyDescent="0.35">
      <c r="AG174"/>
    </row>
    <row r="175" spans="33:33" x14ac:dyDescent="0.35">
      <c r="AG175"/>
    </row>
    <row r="176" spans="33:33" x14ac:dyDescent="0.35">
      <c r="AG176"/>
    </row>
    <row r="177" spans="33:33" x14ac:dyDescent="0.35">
      <c r="AG177"/>
    </row>
    <row r="178" spans="33:33" x14ac:dyDescent="0.35">
      <c r="AG178"/>
    </row>
    <row r="179" spans="33:33" x14ac:dyDescent="0.35">
      <c r="AG179"/>
    </row>
    <row r="180" spans="33:33" x14ac:dyDescent="0.35">
      <c r="AG180"/>
    </row>
    <row r="181" spans="33:33" x14ac:dyDescent="0.35">
      <c r="AG181"/>
    </row>
    <row r="182" spans="33:33" x14ac:dyDescent="0.35">
      <c r="AG182"/>
    </row>
    <row r="183" spans="33:33" x14ac:dyDescent="0.35">
      <c r="AG183"/>
    </row>
    <row r="184" spans="33:33" x14ac:dyDescent="0.35">
      <c r="AG184"/>
    </row>
    <row r="185" spans="33:33" x14ac:dyDescent="0.35">
      <c r="AG185"/>
    </row>
    <row r="186" spans="33:33" x14ac:dyDescent="0.35">
      <c r="AG186"/>
    </row>
    <row r="187" spans="33:33" x14ac:dyDescent="0.35">
      <c r="AG187"/>
    </row>
    <row r="188" spans="33:33" x14ac:dyDescent="0.35">
      <c r="AG188"/>
    </row>
    <row r="189" spans="33:33" x14ac:dyDescent="0.35">
      <c r="AG189"/>
    </row>
    <row r="190" spans="33:33" x14ac:dyDescent="0.35">
      <c r="AG190"/>
    </row>
    <row r="191" spans="33:33" x14ac:dyDescent="0.35">
      <c r="AG191"/>
    </row>
    <row r="192" spans="33:33" x14ac:dyDescent="0.35">
      <c r="AG192"/>
    </row>
    <row r="193" spans="33:33" x14ac:dyDescent="0.35">
      <c r="AG193"/>
    </row>
    <row r="194" spans="33:33" x14ac:dyDescent="0.35">
      <c r="AG194"/>
    </row>
    <row r="195" spans="33:33" x14ac:dyDescent="0.35">
      <c r="AG195"/>
    </row>
    <row r="196" spans="33:33" x14ac:dyDescent="0.35">
      <c r="AG196"/>
    </row>
    <row r="197" spans="33:33" x14ac:dyDescent="0.35">
      <c r="AG197"/>
    </row>
    <row r="198" spans="33:33" x14ac:dyDescent="0.35">
      <c r="AG198"/>
    </row>
    <row r="199" spans="33:33" x14ac:dyDescent="0.35">
      <c r="AG199"/>
    </row>
    <row r="200" spans="33:33" x14ac:dyDescent="0.35">
      <c r="AG200"/>
    </row>
    <row r="201" spans="33:33" x14ac:dyDescent="0.35">
      <c r="AG201"/>
    </row>
    <row r="202" spans="33:33" x14ac:dyDescent="0.35">
      <c r="AG202"/>
    </row>
    <row r="203" spans="33:33" x14ac:dyDescent="0.35">
      <c r="AG203"/>
    </row>
    <row r="204" spans="33:33" x14ac:dyDescent="0.35">
      <c r="AG204"/>
    </row>
    <row r="205" spans="33:33" x14ac:dyDescent="0.35">
      <c r="AG205"/>
    </row>
    <row r="206" spans="33:33" x14ac:dyDescent="0.35">
      <c r="AG206"/>
    </row>
    <row r="207" spans="33:33" x14ac:dyDescent="0.35">
      <c r="AG207"/>
    </row>
    <row r="208" spans="33:33" x14ac:dyDescent="0.35">
      <c r="AG208"/>
    </row>
    <row r="209" spans="33:33" x14ac:dyDescent="0.35">
      <c r="AG209"/>
    </row>
    <row r="210" spans="33:33" x14ac:dyDescent="0.35">
      <c r="AG210"/>
    </row>
    <row r="211" spans="33:33" x14ac:dyDescent="0.35">
      <c r="AG211"/>
    </row>
    <row r="212" spans="33:33" x14ac:dyDescent="0.35">
      <c r="AG212"/>
    </row>
    <row r="213" spans="33:33" x14ac:dyDescent="0.35">
      <c r="AG213"/>
    </row>
    <row r="214" spans="33:33" x14ac:dyDescent="0.35">
      <c r="AG214"/>
    </row>
    <row r="215" spans="33:33" x14ac:dyDescent="0.35">
      <c r="AG215"/>
    </row>
    <row r="216" spans="33:33" x14ac:dyDescent="0.35">
      <c r="AG216"/>
    </row>
    <row r="217" spans="33:33" x14ac:dyDescent="0.35">
      <c r="AG217"/>
    </row>
    <row r="218" spans="33:33" x14ac:dyDescent="0.35">
      <c r="AG218"/>
    </row>
    <row r="219" spans="33:33" x14ac:dyDescent="0.35">
      <c r="AG219"/>
    </row>
    <row r="220" spans="33:33" x14ac:dyDescent="0.35">
      <c r="AG220"/>
    </row>
    <row r="221" spans="33:33" x14ac:dyDescent="0.35">
      <c r="AG221"/>
    </row>
    <row r="222" spans="33:33" x14ac:dyDescent="0.35">
      <c r="AG222"/>
    </row>
    <row r="223" spans="33:33" x14ac:dyDescent="0.35">
      <c r="AG223"/>
    </row>
    <row r="224" spans="33:33" x14ac:dyDescent="0.35">
      <c r="AG224"/>
    </row>
    <row r="225" spans="33:33" x14ac:dyDescent="0.35">
      <c r="AG225"/>
    </row>
    <row r="226" spans="33:33" x14ac:dyDescent="0.35">
      <c r="AG226"/>
    </row>
    <row r="227" spans="33:33" x14ac:dyDescent="0.35">
      <c r="AG227"/>
    </row>
    <row r="228" spans="33:33" x14ac:dyDescent="0.35">
      <c r="AG228"/>
    </row>
    <row r="229" spans="33:33" x14ac:dyDescent="0.35">
      <c r="AG229"/>
    </row>
    <row r="230" spans="33:33" x14ac:dyDescent="0.35">
      <c r="AG230"/>
    </row>
    <row r="231" spans="33:33" x14ac:dyDescent="0.35">
      <c r="AG231"/>
    </row>
    <row r="232" spans="33:33" x14ac:dyDescent="0.35">
      <c r="AG232"/>
    </row>
    <row r="233" spans="33:33" x14ac:dyDescent="0.35">
      <c r="AG233"/>
    </row>
    <row r="234" spans="33:33" x14ac:dyDescent="0.35">
      <c r="AG234"/>
    </row>
    <row r="235" spans="33:33" x14ac:dyDescent="0.35">
      <c r="AG235"/>
    </row>
    <row r="236" spans="33:33" x14ac:dyDescent="0.35">
      <c r="AG236"/>
    </row>
    <row r="237" spans="33:33" x14ac:dyDescent="0.35">
      <c r="AG237"/>
    </row>
    <row r="238" spans="33:33" x14ac:dyDescent="0.35">
      <c r="AG238"/>
    </row>
    <row r="239" spans="33:33" x14ac:dyDescent="0.35">
      <c r="AG239"/>
    </row>
    <row r="240" spans="33:33" x14ac:dyDescent="0.35">
      <c r="AG240"/>
    </row>
    <row r="241" spans="33:33" x14ac:dyDescent="0.35">
      <c r="AG241"/>
    </row>
    <row r="242" spans="33:33" x14ac:dyDescent="0.35">
      <c r="AG242"/>
    </row>
    <row r="243" spans="33:33" x14ac:dyDescent="0.35">
      <c r="AG243"/>
    </row>
    <row r="244" spans="33:33" x14ac:dyDescent="0.35">
      <c r="AG244"/>
    </row>
    <row r="245" spans="33:33" x14ac:dyDescent="0.35">
      <c r="AG245"/>
    </row>
    <row r="246" spans="33:33" x14ac:dyDescent="0.35">
      <c r="AG246"/>
    </row>
    <row r="247" spans="33:33" x14ac:dyDescent="0.35">
      <c r="AG247"/>
    </row>
    <row r="248" spans="33:33" x14ac:dyDescent="0.35">
      <c r="AG248"/>
    </row>
    <row r="249" spans="33:33" x14ac:dyDescent="0.35">
      <c r="AG249"/>
    </row>
    <row r="250" spans="33:33" x14ac:dyDescent="0.35">
      <c r="AG250"/>
    </row>
    <row r="251" spans="33:33" x14ac:dyDescent="0.35">
      <c r="AG251"/>
    </row>
    <row r="252" spans="33:33" x14ac:dyDescent="0.35">
      <c r="AG252"/>
    </row>
    <row r="253" spans="33:33" x14ac:dyDescent="0.35">
      <c r="AG253"/>
    </row>
    <row r="254" spans="33:33" x14ac:dyDescent="0.35">
      <c r="AG254"/>
    </row>
    <row r="255" spans="33:33" x14ac:dyDescent="0.35">
      <c r="AG255"/>
    </row>
    <row r="256" spans="33:33" x14ac:dyDescent="0.35">
      <c r="AG256"/>
    </row>
    <row r="257" spans="33:33" x14ac:dyDescent="0.35">
      <c r="AG257"/>
    </row>
    <row r="258" spans="33:33" x14ac:dyDescent="0.35">
      <c r="AG258"/>
    </row>
    <row r="259" spans="33:33" x14ac:dyDescent="0.35">
      <c r="AG259"/>
    </row>
    <row r="260" spans="33:33" x14ac:dyDescent="0.35">
      <c r="AG260"/>
    </row>
    <row r="261" spans="33:33" x14ac:dyDescent="0.35">
      <c r="AG261"/>
    </row>
    <row r="262" spans="33:33" x14ac:dyDescent="0.35">
      <c r="AG262"/>
    </row>
  </sheetData>
  <conditionalFormatting sqref="E5:E14">
    <cfRule type="colorScale" priority="97">
      <colorScale>
        <cfvo type="min"/>
        <cfvo type="max"/>
        <color rgb="FFFFEF9C"/>
        <color rgb="FF63BE7B"/>
      </colorScale>
    </cfRule>
  </conditionalFormatting>
  <conditionalFormatting sqref="M5:M14">
    <cfRule type="colorScale" priority="98">
      <colorScale>
        <cfvo type="min"/>
        <cfvo type="max"/>
        <color rgb="FFFFEF9C"/>
        <color rgb="FF63BE7B"/>
      </colorScale>
    </cfRule>
  </conditionalFormatting>
  <conditionalFormatting sqref="E22:E31">
    <cfRule type="colorScale" priority="99">
      <colorScale>
        <cfvo type="min"/>
        <cfvo type="max"/>
        <color rgb="FFFFEF9C"/>
        <color rgb="FF63BE7B"/>
      </colorScale>
    </cfRule>
  </conditionalFormatting>
  <conditionalFormatting sqref="M22:M31">
    <cfRule type="colorScale" priority="100">
      <colorScale>
        <cfvo type="min"/>
        <cfvo type="max"/>
        <color rgb="FFFFEF9C"/>
        <color rgb="FF63BE7B"/>
      </colorScale>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53B1435F-663A-476F-B11B-5744987E274B}">
          <x14:formula1>
            <xm:f>data1!$AM$4:$AM$36</xm:f>
          </x14:formula1>
          <xm:sqref>J19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4B487-A0FA-4D8E-A85D-60D9F4A2E35D}">
  <sheetPr>
    <tabColor theme="7"/>
  </sheetPr>
  <dimension ref="A1:AK284"/>
  <sheetViews>
    <sheetView showGridLines="0" topLeftCell="L1" zoomScale="80" zoomScaleNormal="80" workbookViewId="0"/>
  </sheetViews>
  <sheetFormatPr defaultColWidth="8.81640625" defaultRowHeight="14.5" outlineLevelCol="1" x14ac:dyDescent="0.35"/>
  <cols>
    <col min="1" max="1" width="8.54296875" style="2" hidden="1" customWidth="1" outlineLevel="1"/>
    <col min="2" max="2" width="46.81640625" style="2" hidden="1" customWidth="1" outlineLevel="1"/>
    <col min="3" max="8" width="11.54296875" style="2" hidden="1" customWidth="1" outlineLevel="1"/>
    <col min="9" max="11" width="9.1796875" style="2" hidden="1" customWidth="1" outlineLevel="1"/>
    <col min="12" max="12" width="8.54296875" style="2" customWidth="1" collapsed="1"/>
    <col min="13" max="13" width="53.453125" style="2" customWidth="1"/>
    <col min="14" max="19" width="11.54296875" style="2" customWidth="1"/>
    <col min="20" max="33" width="8.81640625" style="2"/>
    <col min="34" max="34" width="17.54296875" style="2" customWidth="1"/>
    <col min="35" max="16384" width="8.81640625" style="2"/>
  </cols>
  <sheetData>
    <row r="1" spans="2:37" x14ac:dyDescent="0.35">
      <c r="L1" s="2" t="s">
        <v>638</v>
      </c>
    </row>
    <row r="2" spans="2:37" ht="26" x14ac:dyDescent="0.6">
      <c r="M2" s="11" t="s">
        <v>628</v>
      </c>
    </row>
    <row r="4" spans="2:37" ht="36.65" customHeight="1" x14ac:dyDescent="0.35">
      <c r="B4" s="4" t="s">
        <v>15</v>
      </c>
      <c r="C4" s="50" t="s">
        <v>555</v>
      </c>
      <c r="D4" s="50" t="s">
        <v>556</v>
      </c>
      <c r="E4" s="50" t="s">
        <v>557</v>
      </c>
      <c r="F4" s="50" t="s">
        <v>558</v>
      </c>
      <c r="G4" s="50" t="s">
        <v>559</v>
      </c>
      <c r="H4" s="50" t="s">
        <v>560</v>
      </c>
      <c r="M4" s="4" t="s">
        <v>15</v>
      </c>
      <c r="N4" s="50" t="s">
        <v>555</v>
      </c>
      <c r="O4" s="50" t="s">
        <v>556</v>
      </c>
      <c r="P4" s="50" t="s">
        <v>557</v>
      </c>
      <c r="Q4" s="50" t="s">
        <v>558</v>
      </c>
      <c r="R4" s="50" t="s">
        <v>559</v>
      </c>
      <c r="S4" s="50" t="s">
        <v>560</v>
      </c>
    </row>
    <row r="5" spans="2:37" x14ac:dyDescent="0.35">
      <c r="B5" s="5" t="s">
        <v>67</v>
      </c>
      <c r="C5" s="6" cm="1">
        <f t="array" ref="C5">SUM(SUMIFS(flu_group[flhcw],flu_group[staff_group],$B5,flu_group[season],"2025-2026",flu_group[trust_type],{"Acute","Acute &amp; Community"}))</f>
        <v>5901</v>
      </c>
      <c r="D5" s="6" cm="1">
        <f t="array" ref="D5">SUM(SUMIFS(flu_group[vve],flu_group[staff_group],$B5,flu_group[season],"2025-2026",flu_group[trust_type],{"Acute","Acute &amp; Community"}))</f>
        <v>2410</v>
      </c>
      <c r="E5" s="7">
        <f>D5/C5</f>
        <v>0.40840535502457209</v>
      </c>
      <c r="F5" s="6">
        <f>C5-D5</f>
        <v>3491</v>
      </c>
      <c r="G5" s="7">
        <f>SUMIFS(flu_group[vve],flu_group[staff_group],$B5,flu_group[season],"2024-2025")/SUMIFS(flu_group[flhcw],flu_group[staff_group],$B5,flu_group[season],"2024-2025")</f>
        <v>0.3320970254432164</v>
      </c>
      <c r="H5" s="7">
        <f>E5-G5</f>
        <v>7.6308329581355694E-2</v>
      </c>
      <c r="I5" s="2">
        <f>_xlfn.RANK.EQ(E5,$E$5:$E$13,0)</f>
        <v>4</v>
      </c>
      <c r="K5" s="2">
        <v>1</v>
      </c>
      <c r="M5" s="5" t="str">
        <f t="shared" ref="M5:S13" si="0">INDEX(B$5:B$13,MATCH($K5,$I$5:$I$13,0))</f>
        <v>Medical and Dental</v>
      </c>
      <c r="N5" s="6">
        <f t="shared" si="0"/>
        <v>36000</v>
      </c>
      <c r="O5" s="6">
        <f t="shared" si="0"/>
        <v>17912</v>
      </c>
      <c r="P5" s="7">
        <f t="shared" si="0"/>
        <v>0.49755555555555553</v>
      </c>
      <c r="Q5" s="6">
        <f t="shared" si="0"/>
        <v>18088</v>
      </c>
      <c r="R5" s="7">
        <f t="shared" si="0"/>
        <v>0.42529121326877906</v>
      </c>
      <c r="S5" s="7">
        <f t="shared" si="0"/>
        <v>7.2264342286776473E-2</v>
      </c>
      <c r="AI5" s="23"/>
      <c r="AJ5" s="23"/>
      <c r="AK5" s="24"/>
    </row>
    <row r="6" spans="2:37" x14ac:dyDescent="0.35">
      <c r="B6" s="5" t="s">
        <v>81</v>
      </c>
      <c r="C6" s="6" cm="1">
        <f t="array" ref="C6">SUM(SUMIFS(flu_group[flhcw],flu_group[staff_group],$B6,flu_group[season],"2025-2026",flu_group[trust_type],{"Acute","Acute &amp; Community"}))</f>
        <v>22768</v>
      </c>
      <c r="D6" s="6" cm="1">
        <f t="array" ref="D6">SUM(SUMIFS(flu_group[vve],flu_group[staff_group],$B6,flu_group[season],"2025-2026",flu_group[trust_type],{"Acute","Acute &amp; Community"}))</f>
        <v>6838</v>
      </c>
      <c r="E6" s="7">
        <f t="shared" ref="E6:E13" si="1">D6/C6</f>
        <v>0.30033380182712577</v>
      </c>
      <c r="F6" s="6">
        <f t="shared" ref="F6:F13" si="2">C6-D6</f>
        <v>15930</v>
      </c>
      <c r="G6" s="7">
        <f>SUMIFS(flu_group[vve],flu_group[staff_group],$B6,flu_group[season],"2024-2025")/SUMIFS(flu_group[flhcw],flu_group[staff_group],$B6,flu_group[season],"2024-2025")</f>
        <v>0.25437110769471299</v>
      </c>
      <c r="H6" s="7">
        <f t="shared" ref="H6:H13" si="3">E6-G6</f>
        <v>4.5962694132412774E-2</v>
      </c>
      <c r="I6" s="2">
        <f t="shared" ref="I6:I13" si="4">_xlfn.RANK.EQ(E6,$E$5:$E$13,0)</f>
        <v>6</v>
      </c>
      <c r="K6" s="2">
        <v>2</v>
      </c>
      <c r="M6" s="5" t="str">
        <f t="shared" si="0"/>
        <v>Allied Health Professionals</v>
      </c>
      <c r="N6" s="6">
        <f t="shared" si="0"/>
        <v>11409</v>
      </c>
      <c r="O6" s="6">
        <f t="shared" si="0"/>
        <v>5155</v>
      </c>
      <c r="P6" s="7">
        <f t="shared" si="0"/>
        <v>0.45183626961171003</v>
      </c>
      <c r="Q6" s="6">
        <f t="shared" si="0"/>
        <v>6254</v>
      </c>
      <c r="R6" s="7">
        <f t="shared" si="0"/>
        <v>0.36993943257889705</v>
      </c>
      <c r="S6" s="7">
        <f t="shared" si="0"/>
        <v>8.1896837032812975E-2</v>
      </c>
      <c r="AI6" s="23"/>
      <c r="AJ6" s="23"/>
      <c r="AK6" s="24"/>
    </row>
    <row r="7" spans="2:37" x14ac:dyDescent="0.35">
      <c r="B7" s="5" t="s">
        <v>46</v>
      </c>
      <c r="C7" s="6" cm="1">
        <f t="array" ref="C7">SUM(SUMIFS(flu_group[flhcw],flu_group[staff_group],$B7,flu_group[season],"2025-2026",flu_group[trust_type],{"Acute","Acute &amp; Community"}))</f>
        <v>4377</v>
      </c>
      <c r="D7" s="6" cm="1">
        <f t="array" ref="D7">SUM(SUMIFS(flu_group[vve],flu_group[staff_group],$B7,flu_group[season],"2025-2026",flu_group[trust_type],{"Acute","Acute &amp; Community"}))</f>
        <v>1245</v>
      </c>
      <c r="E7" s="7">
        <f t="shared" si="1"/>
        <v>0.2844413982179575</v>
      </c>
      <c r="F7" s="6">
        <f t="shared" si="2"/>
        <v>3132</v>
      </c>
      <c r="G7" s="7">
        <f>SUMIFS(flu_group[vve],flu_group[staff_group],$B7,flu_group[season],"2024-2025")/SUMIFS(flu_group[flhcw],flu_group[staff_group],$B7,flu_group[season],"2024-2025")</f>
        <v>0.2689693183905934</v>
      </c>
      <c r="H7" s="7">
        <f t="shared" si="3"/>
        <v>1.5472079827364094E-2</v>
      </c>
      <c r="I7" s="2">
        <f t="shared" si="4"/>
        <v>8</v>
      </c>
      <c r="K7" s="2">
        <v>3</v>
      </c>
      <c r="M7" s="5" t="str">
        <f t="shared" si="0"/>
        <v>Healthcare Scientists</v>
      </c>
      <c r="N7" s="6">
        <f t="shared" si="0"/>
        <v>3748</v>
      </c>
      <c r="O7" s="6">
        <f t="shared" si="0"/>
        <v>1532</v>
      </c>
      <c r="P7" s="7">
        <f t="shared" si="0"/>
        <v>0.40875133404482389</v>
      </c>
      <c r="Q7" s="6">
        <f t="shared" si="0"/>
        <v>2216</v>
      </c>
      <c r="R7" s="7">
        <f t="shared" si="0"/>
        <v>0.36815345504968799</v>
      </c>
      <c r="S7" s="7">
        <f t="shared" si="0"/>
        <v>4.0597878995135894E-2</v>
      </c>
      <c r="AI7" s="23"/>
      <c r="AJ7" s="23"/>
      <c r="AK7" s="24"/>
    </row>
    <row r="8" spans="2:37" x14ac:dyDescent="0.35">
      <c r="B8" s="5" t="s">
        <v>60</v>
      </c>
      <c r="C8" s="6" cm="1">
        <f t="array" ref="C8">SUM(SUMIFS(flu_group[flhcw],flu_group[staff_group],$B8,flu_group[season],"2025-2026",flu_group[trust_type],{"Acute","Acute &amp; Community"}))</f>
        <v>11409</v>
      </c>
      <c r="D8" s="6" cm="1">
        <f t="array" ref="D8">SUM(SUMIFS(flu_group[vve],flu_group[staff_group],$B8,flu_group[season],"2025-2026",flu_group[trust_type],{"Acute","Acute &amp; Community"}))</f>
        <v>5155</v>
      </c>
      <c r="E8" s="7">
        <f t="shared" si="1"/>
        <v>0.45183626961171003</v>
      </c>
      <c r="F8" s="6">
        <f t="shared" si="2"/>
        <v>6254</v>
      </c>
      <c r="G8" s="7">
        <f>SUMIFS(flu_group[vve],flu_group[staff_group],$B8,flu_group[season],"2024-2025")/SUMIFS(flu_group[flhcw],flu_group[staff_group],$B8,flu_group[season],"2024-2025")</f>
        <v>0.36993943257889705</v>
      </c>
      <c r="H8" s="7">
        <f t="shared" si="3"/>
        <v>8.1896837032812975E-2</v>
      </c>
      <c r="I8" s="2">
        <f t="shared" si="4"/>
        <v>2</v>
      </c>
      <c r="K8" s="2">
        <v>4</v>
      </c>
      <c r="M8" s="5" t="str">
        <f t="shared" si="0"/>
        <v>Add Prof Scientific and Technic</v>
      </c>
      <c r="N8" s="6">
        <f t="shared" si="0"/>
        <v>5901</v>
      </c>
      <c r="O8" s="6">
        <f t="shared" si="0"/>
        <v>2410</v>
      </c>
      <c r="P8" s="7">
        <f t="shared" si="0"/>
        <v>0.40840535502457209</v>
      </c>
      <c r="Q8" s="6">
        <f t="shared" si="0"/>
        <v>3491</v>
      </c>
      <c r="R8" s="7">
        <f t="shared" si="0"/>
        <v>0.3320970254432164</v>
      </c>
      <c r="S8" s="7">
        <f t="shared" si="0"/>
        <v>7.6308329581355694E-2</v>
      </c>
      <c r="AI8" s="23"/>
      <c r="AJ8" s="23"/>
      <c r="AK8" s="24"/>
    </row>
    <row r="9" spans="2:37" x14ac:dyDescent="0.35">
      <c r="B9" s="5" t="s">
        <v>28</v>
      </c>
      <c r="C9" s="6" cm="1">
        <f t="array" ref="C9">SUM(SUMIFS(flu_group[flhcw],flu_group[staff_group],$B9,flu_group[season],"2025-2026",flu_group[trust_type],{"Acute","Acute &amp; Community"}))</f>
        <v>6116</v>
      </c>
      <c r="D9" s="6" cm="1">
        <f t="array" ref="D9">SUM(SUMIFS(flu_group[vve],flu_group[staff_group],$B9,flu_group[season],"2025-2026",flu_group[trust_type],{"Acute","Acute &amp; Community"}))</f>
        <v>1794</v>
      </c>
      <c r="E9" s="7">
        <f t="shared" si="1"/>
        <v>0.29332897318508827</v>
      </c>
      <c r="F9" s="6">
        <f t="shared" si="2"/>
        <v>4322</v>
      </c>
      <c r="G9" s="7">
        <f>SUMIFS(flu_group[vve],flu_group[staff_group],$B9,flu_group[season],"2024-2025")/SUMIFS(flu_group[flhcw],flu_group[staff_group],$B9,flu_group[season],"2024-2025")</f>
        <v>0.25817675713291582</v>
      </c>
      <c r="H9" s="7">
        <f t="shared" si="3"/>
        <v>3.5152216052172447E-2</v>
      </c>
      <c r="I9" s="2">
        <f t="shared" si="4"/>
        <v>7</v>
      </c>
      <c r="K9" s="2">
        <v>5</v>
      </c>
      <c r="M9" s="5" t="str">
        <f t="shared" si="0"/>
        <v>Nursing and Midwifery Registered</v>
      </c>
      <c r="N9" s="6">
        <f t="shared" si="0"/>
        <v>48352</v>
      </c>
      <c r="O9" s="6">
        <f t="shared" si="0"/>
        <v>19004</v>
      </c>
      <c r="P9" s="7">
        <f t="shared" si="0"/>
        <v>0.39303441429516878</v>
      </c>
      <c r="Q9" s="6">
        <f t="shared" si="0"/>
        <v>29348</v>
      </c>
      <c r="R9" s="7">
        <f t="shared" si="0"/>
        <v>0.32728520240908743</v>
      </c>
      <c r="S9" s="7">
        <f t="shared" si="0"/>
        <v>6.5749211886081349E-2</v>
      </c>
      <c r="AI9" s="23"/>
      <c r="AJ9" s="23"/>
      <c r="AK9" s="24"/>
    </row>
    <row r="10" spans="2:37" x14ac:dyDescent="0.35">
      <c r="B10" s="5" t="s">
        <v>74</v>
      </c>
      <c r="C10" s="6" cm="1">
        <f t="array" ref="C10">SUM(SUMIFS(flu_group[flhcw],flu_group[staff_group],$B10,flu_group[season],"2025-2026",flu_group[trust_type],{"Acute","Acute &amp; Community"}))</f>
        <v>3748</v>
      </c>
      <c r="D10" s="6" cm="1">
        <f t="array" ref="D10">SUM(SUMIFS(flu_group[vve],flu_group[staff_group],$B10,flu_group[season],"2025-2026",flu_group[trust_type],{"Acute","Acute &amp; Community"}))</f>
        <v>1532</v>
      </c>
      <c r="E10" s="7">
        <f t="shared" si="1"/>
        <v>0.40875133404482389</v>
      </c>
      <c r="F10" s="6">
        <f t="shared" si="2"/>
        <v>2216</v>
      </c>
      <c r="G10" s="7">
        <f>SUMIFS(flu_group[vve],flu_group[staff_group],$B10,flu_group[season],"2024-2025")/SUMIFS(flu_group[flhcw],flu_group[staff_group],$B10,flu_group[season],"2024-2025")</f>
        <v>0.36815345504968799</v>
      </c>
      <c r="H10" s="7">
        <f t="shared" si="3"/>
        <v>4.0597878995135894E-2</v>
      </c>
      <c r="I10" s="2">
        <f t="shared" si="4"/>
        <v>3</v>
      </c>
      <c r="K10" s="2">
        <v>6</v>
      </c>
      <c r="M10" s="5" t="str">
        <f t="shared" si="0"/>
        <v>Additional Clinical Services</v>
      </c>
      <c r="N10" s="6">
        <f t="shared" si="0"/>
        <v>22768</v>
      </c>
      <c r="O10" s="6">
        <f t="shared" si="0"/>
        <v>6838</v>
      </c>
      <c r="P10" s="7">
        <f t="shared" si="0"/>
        <v>0.30033380182712577</v>
      </c>
      <c r="Q10" s="6">
        <f t="shared" si="0"/>
        <v>15930</v>
      </c>
      <c r="R10" s="7">
        <f t="shared" si="0"/>
        <v>0.25437110769471299</v>
      </c>
      <c r="S10" s="7">
        <f t="shared" si="0"/>
        <v>4.5962694132412774E-2</v>
      </c>
      <c r="AI10" s="23"/>
      <c r="AJ10" s="23"/>
      <c r="AK10" s="24"/>
    </row>
    <row r="11" spans="2:37" x14ac:dyDescent="0.35">
      <c r="B11" s="5" t="s">
        <v>42</v>
      </c>
      <c r="C11" s="6" cm="1">
        <f t="array" ref="C11">SUM(SUMIFS(flu_group[flhcw],flu_group[staff_group],$B11,flu_group[season],"2025-2026",flu_group[trust_type],{"Acute","Acute &amp; Community"}))</f>
        <v>36000</v>
      </c>
      <c r="D11" s="6" cm="1">
        <f t="array" ref="D11">SUM(SUMIFS(flu_group[vve],flu_group[staff_group],$B11,flu_group[season],"2025-2026",flu_group[trust_type],{"Acute","Acute &amp; Community"}))</f>
        <v>17912</v>
      </c>
      <c r="E11" s="7">
        <f t="shared" si="1"/>
        <v>0.49755555555555553</v>
      </c>
      <c r="F11" s="6">
        <f t="shared" si="2"/>
        <v>18088</v>
      </c>
      <c r="G11" s="7">
        <f>SUMIFS(flu_group[vve],flu_group[staff_group],$B11,flu_group[season],"2024-2025")/SUMIFS(flu_group[flhcw],flu_group[staff_group],$B11,flu_group[season],"2024-2025")</f>
        <v>0.42529121326877906</v>
      </c>
      <c r="H11" s="7">
        <f t="shared" si="3"/>
        <v>7.2264342286776473E-2</v>
      </c>
      <c r="I11" s="2">
        <f t="shared" si="4"/>
        <v>1</v>
      </c>
      <c r="K11" s="2">
        <v>7</v>
      </c>
      <c r="M11" s="5" t="str">
        <f t="shared" si="0"/>
        <v>Estates and Ancillary</v>
      </c>
      <c r="N11" s="6">
        <f t="shared" si="0"/>
        <v>6116</v>
      </c>
      <c r="O11" s="6">
        <f t="shared" si="0"/>
        <v>1794</v>
      </c>
      <c r="P11" s="7">
        <f t="shared" si="0"/>
        <v>0.29332897318508827</v>
      </c>
      <c r="Q11" s="6">
        <f t="shared" si="0"/>
        <v>4322</v>
      </c>
      <c r="R11" s="7">
        <f t="shared" si="0"/>
        <v>0.25817675713291582</v>
      </c>
      <c r="S11" s="7">
        <f t="shared" si="0"/>
        <v>3.5152216052172447E-2</v>
      </c>
      <c r="AI11" s="23"/>
      <c r="AJ11" s="23"/>
      <c r="AK11" s="24"/>
    </row>
    <row r="12" spans="2:37" x14ac:dyDescent="0.35">
      <c r="B12" s="5" t="s">
        <v>53</v>
      </c>
      <c r="C12" s="6" cm="1">
        <f t="array" ref="C12">SUM(SUMIFS(flu_group[flhcw],flu_group[staff_group],$B12,flu_group[season],"2025-2026",flu_group[trust_type],{"Acute","Acute &amp; Community"}))</f>
        <v>48352</v>
      </c>
      <c r="D12" s="6" cm="1">
        <f t="array" ref="D12">SUM(SUMIFS(flu_group[vve],flu_group[staff_group],$B12,flu_group[season],"2025-2026",flu_group[trust_type],{"Acute","Acute &amp; Community"}))</f>
        <v>19004</v>
      </c>
      <c r="E12" s="7">
        <f t="shared" si="1"/>
        <v>0.39303441429516878</v>
      </c>
      <c r="F12" s="6">
        <f t="shared" si="2"/>
        <v>29348</v>
      </c>
      <c r="G12" s="7">
        <f>SUMIFS(flu_group[vve],flu_group[staff_group],$B12,flu_group[season],"2024-2025")/SUMIFS(flu_group[flhcw],flu_group[staff_group],$B12,flu_group[season],"2024-2025")</f>
        <v>0.32728520240908743</v>
      </c>
      <c r="H12" s="7">
        <f t="shared" si="3"/>
        <v>6.5749211886081349E-2</v>
      </c>
      <c r="I12" s="2">
        <f t="shared" si="4"/>
        <v>5</v>
      </c>
      <c r="K12" s="2">
        <v>8</v>
      </c>
      <c r="M12" s="5" t="str">
        <f t="shared" si="0"/>
        <v>Administrative and Clerical</v>
      </c>
      <c r="N12" s="6">
        <f t="shared" si="0"/>
        <v>4377</v>
      </c>
      <c r="O12" s="6">
        <f t="shared" si="0"/>
        <v>1245</v>
      </c>
      <c r="P12" s="7">
        <f t="shared" si="0"/>
        <v>0.2844413982179575</v>
      </c>
      <c r="Q12" s="6">
        <f t="shared" si="0"/>
        <v>3132</v>
      </c>
      <c r="R12" s="7">
        <f t="shared" si="0"/>
        <v>0.2689693183905934</v>
      </c>
      <c r="S12" s="7">
        <f t="shared" si="0"/>
        <v>1.5472079827364094E-2</v>
      </c>
      <c r="AI12" s="23"/>
      <c r="AJ12" s="23"/>
      <c r="AK12" s="24"/>
    </row>
    <row r="13" spans="2:37" x14ac:dyDescent="0.35">
      <c r="B13" s="5" t="s">
        <v>35</v>
      </c>
      <c r="C13" s="6" cm="1">
        <f t="array" ref="C13">SUM(SUMIFS(flu_group[flhcw],flu_group[staff_group],$B13,flu_group[season],"2025-2026",flu_group[trust_type],{"Acute","Acute &amp; Community"}))</f>
        <v>278</v>
      </c>
      <c r="D13" s="6" cm="1">
        <f t="array" ref="D13">SUM(SUMIFS(flu_group[vve],flu_group[staff_group],$B13,flu_group[season],"2025-2026",flu_group[trust_type],{"Acute","Acute &amp; Community"}))</f>
        <v>65</v>
      </c>
      <c r="E13" s="7">
        <f t="shared" si="1"/>
        <v>0.23381294964028776</v>
      </c>
      <c r="F13" s="6">
        <f t="shared" si="2"/>
        <v>213</v>
      </c>
      <c r="G13" s="7">
        <f>SUMIFS(flu_group[vve],flu_group[staff_group],$B13,flu_group[season],"2024-2025")/SUMIFS(flu_group[flhcw],flu_group[staff_group],$B13,flu_group[season],"2024-2025")</f>
        <v>0.20279720279720279</v>
      </c>
      <c r="H13" s="7">
        <f t="shared" si="3"/>
        <v>3.1015746843084974E-2</v>
      </c>
      <c r="I13" s="2">
        <f t="shared" si="4"/>
        <v>9</v>
      </c>
      <c r="K13" s="2">
        <v>9</v>
      </c>
      <c r="M13" s="5" t="str">
        <f t="shared" si="0"/>
        <v>Students</v>
      </c>
      <c r="N13" s="6">
        <f t="shared" si="0"/>
        <v>278</v>
      </c>
      <c r="O13" s="6">
        <f t="shared" si="0"/>
        <v>65</v>
      </c>
      <c r="P13" s="7">
        <f t="shared" si="0"/>
        <v>0.23381294964028776</v>
      </c>
      <c r="Q13" s="6">
        <f t="shared" si="0"/>
        <v>213</v>
      </c>
      <c r="R13" s="7">
        <f t="shared" si="0"/>
        <v>0.20279720279720279</v>
      </c>
      <c r="S13" s="7">
        <f t="shared" si="0"/>
        <v>3.1015746843084974E-2</v>
      </c>
      <c r="AI13" s="23"/>
      <c r="AJ13" s="23"/>
      <c r="AK13" s="24"/>
    </row>
    <row r="14" spans="2:37" x14ac:dyDescent="0.35">
      <c r="AJ14"/>
    </row>
    <row r="15" spans="2:37" ht="36.65" customHeight="1" x14ac:dyDescent="0.35">
      <c r="B15" s="4" t="s">
        <v>15</v>
      </c>
      <c r="C15" s="50" t="s">
        <v>606</v>
      </c>
      <c r="D15" s="50" t="s">
        <v>540</v>
      </c>
      <c r="E15" s="50" t="s">
        <v>541</v>
      </c>
      <c r="M15" s="4" t="s">
        <v>17</v>
      </c>
      <c r="N15" s="50" t="s">
        <v>606</v>
      </c>
      <c r="O15" s="50" t="s">
        <v>540</v>
      </c>
      <c r="P15" s="50" t="s">
        <v>541</v>
      </c>
      <c r="AD15"/>
    </row>
    <row r="16" spans="2:37" x14ac:dyDescent="0.35">
      <c r="B16" s="5" t="s">
        <v>68</v>
      </c>
      <c r="C16" s="6" cm="1">
        <f t="array" ref="C16">SUM(SUMIFS(flu_eth_ep[fl_staff],flu_eth_ep[Ethnicity],$B16,flu_eth_ep[trust_type],{"Acute","Acute &amp; Community"}))</f>
        <v>32920</v>
      </c>
      <c r="D16" s="6" cm="1">
        <f t="array" ref="D16">SUM(SUMIFS(flu_eth_ep[fl_doses],flu_eth_ep[Ethnicity],$B16,flu_eth_ep[trust_type],{"Acute","Acute &amp; Community"}))</f>
        <v>18425</v>
      </c>
      <c r="E16" s="7">
        <f>D16/C16</f>
        <v>0.55969015795868771</v>
      </c>
      <c r="I16" s="2">
        <f>_xlfn.RANK.EQ(E16,$E$16:$E$32,0)</f>
        <v>1</v>
      </c>
      <c r="K16" s="2">
        <v>1</v>
      </c>
      <c r="M16" s="5" t="str">
        <f>INDEX(B$16:B$32,MATCH($K16,$I$16:$I$32,0))</f>
        <v>A: White - British</v>
      </c>
      <c r="N16" s="6">
        <f>INDEX(C$16:C$32,MATCH($K16,$I$16:$I$32,0))</f>
        <v>32920</v>
      </c>
      <c r="O16" s="6">
        <f>INDEX(D$16:D$32,MATCH($K16,$I$16:$I$32,0))</f>
        <v>18425</v>
      </c>
      <c r="P16" s="7">
        <f>INDEX(E$16:E$32,MATCH($K16,$I$16:$I$32,0))</f>
        <v>0.55969015795868771</v>
      </c>
      <c r="AD16"/>
    </row>
    <row r="17" spans="2:30" x14ac:dyDescent="0.35">
      <c r="B17" s="5" t="s">
        <v>135</v>
      </c>
      <c r="C17" s="6" cm="1">
        <f t="array" ref="C17">SUM(SUMIFS(flu_eth_ep[fl_staff],flu_eth_ep[Ethnicity],$B17,flu_eth_ep[trust_type],{"Acute","Acute &amp; Community"}))</f>
        <v>2040</v>
      </c>
      <c r="D17" s="6" cm="1">
        <f t="array" ref="D17">SUM(SUMIFS(flu_eth_ep[fl_doses],flu_eth_ep[Ethnicity],$B17,flu_eth_ep[trust_type],{"Acute","Acute &amp; Community"}))</f>
        <v>1090</v>
      </c>
      <c r="E17" s="7">
        <f t="shared" ref="E17:E32" si="5">D17/C17</f>
        <v>0.53431372549019607</v>
      </c>
      <c r="I17" s="2">
        <f t="shared" ref="I17:I32" si="6">_xlfn.RANK.EQ(E17,$E$16:$E$32,0)</f>
        <v>2</v>
      </c>
      <c r="K17" s="2">
        <v>2</v>
      </c>
      <c r="M17" s="5" t="str">
        <f t="shared" ref="M17:P32" si="7">INDEX(B$16:B$32,MATCH($K17,$I$16:$I$32,0))</f>
        <v>B: White - Irish</v>
      </c>
      <c r="N17" s="6">
        <f t="shared" si="7"/>
        <v>2040</v>
      </c>
      <c r="O17" s="6">
        <f t="shared" si="7"/>
        <v>1090</v>
      </c>
      <c r="P17" s="7">
        <f t="shared" si="7"/>
        <v>0.53431372549019607</v>
      </c>
      <c r="AD17"/>
    </row>
    <row r="18" spans="2:30" x14ac:dyDescent="0.35">
      <c r="B18" s="5" t="s">
        <v>607</v>
      </c>
      <c r="C18" s="6" cm="1">
        <f t="array" ref="C18">SUM(SUMIFS(flu_eth_ep[fl_staff],flu_eth_ep[Ethnicity],$B18,flu_eth_ep[trust_type],{"Acute","Acute &amp; Community"}))</f>
        <v>14803</v>
      </c>
      <c r="D18" s="6" cm="1">
        <f t="array" ref="D18">SUM(SUMIFS(flu_eth_ep[fl_doses],flu_eth_ep[Ethnicity],$B18,flu_eth_ep[trust_type],{"Acute","Acute &amp; Community"}))</f>
        <v>5954</v>
      </c>
      <c r="E18" s="7">
        <f t="shared" si="5"/>
        <v>0.40221576707424173</v>
      </c>
      <c r="I18" s="2">
        <f t="shared" si="6"/>
        <v>6</v>
      </c>
      <c r="K18" s="2">
        <v>3</v>
      </c>
      <c r="M18" s="5" t="str">
        <f t="shared" si="7"/>
        <v>R: Other ethnic groups - Chinese</v>
      </c>
      <c r="N18" s="6">
        <f t="shared" si="7"/>
        <v>2075</v>
      </c>
      <c r="O18" s="6">
        <f t="shared" si="7"/>
        <v>1081</v>
      </c>
      <c r="P18" s="7">
        <f t="shared" si="7"/>
        <v>0.52096385542168677</v>
      </c>
      <c r="AD18"/>
    </row>
    <row r="19" spans="2:30" x14ac:dyDescent="0.35">
      <c r="B19" s="5" t="s">
        <v>129</v>
      </c>
      <c r="C19" s="6" cm="1">
        <f t="array" ref="C19">SUM(SUMIFS(flu_eth_ep[fl_staff],flu_eth_ep[Ethnicity],$B19,flu_eth_ep[trust_type],{"Acute","Acute &amp; Community"}))</f>
        <v>823</v>
      </c>
      <c r="D19" s="6" cm="1">
        <f t="array" ref="D19">SUM(SUMIFS(flu_eth_ep[fl_doses],flu_eth_ep[Ethnicity],$B19,flu_eth_ep[trust_type],{"Acute","Acute &amp; Community"}))</f>
        <v>211</v>
      </c>
      <c r="E19" s="7">
        <f t="shared" si="5"/>
        <v>0.25637910085054677</v>
      </c>
      <c r="I19" s="2">
        <f t="shared" si="6"/>
        <v>13</v>
      </c>
      <c r="K19" s="2">
        <v>4</v>
      </c>
      <c r="M19" s="5" t="str">
        <f t="shared" si="7"/>
        <v>F: Mixed - White and Asian</v>
      </c>
      <c r="N19" s="6">
        <f t="shared" si="7"/>
        <v>1020</v>
      </c>
      <c r="O19" s="6">
        <f t="shared" si="7"/>
        <v>479</v>
      </c>
      <c r="P19" s="7">
        <f t="shared" si="7"/>
        <v>0.4696078431372549</v>
      </c>
      <c r="AD19"/>
    </row>
    <row r="20" spans="2:30" x14ac:dyDescent="0.35">
      <c r="B20" s="5" t="s">
        <v>47</v>
      </c>
      <c r="C20" s="6" cm="1">
        <f t="array" ref="C20">SUM(SUMIFS(flu_eth_ep[fl_staff],flu_eth_ep[Ethnicity],$B20,flu_eth_ep[trust_type],{"Acute","Acute &amp; Community"}))</f>
        <v>1575</v>
      </c>
      <c r="D20" s="6" cm="1">
        <f t="array" ref="D20">SUM(SUMIFS(flu_eth_ep[fl_doses],flu_eth_ep[Ethnicity],$B20,flu_eth_ep[trust_type],{"Acute","Acute &amp; Community"}))</f>
        <v>419</v>
      </c>
      <c r="E20" s="7">
        <f t="shared" si="5"/>
        <v>0.26603174603174601</v>
      </c>
      <c r="I20" s="2">
        <f t="shared" si="6"/>
        <v>12</v>
      </c>
      <c r="K20" s="2">
        <v>5</v>
      </c>
      <c r="M20" s="5" t="str">
        <f t="shared" si="7"/>
        <v>L: Asian or Asian British - Any other Asian background</v>
      </c>
      <c r="N20" s="6">
        <f t="shared" si="7"/>
        <v>15803</v>
      </c>
      <c r="O20" s="6">
        <f t="shared" si="7"/>
        <v>6599</v>
      </c>
      <c r="P20" s="7">
        <f t="shared" si="7"/>
        <v>0.4175789407074606</v>
      </c>
      <c r="AD20"/>
    </row>
    <row r="21" spans="2:30" x14ac:dyDescent="0.35">
      <c r="B21" s="5" t="s">
        <v>94</v>
      </c>
      <c r="C21" s="6" cm="1">
        <f t="array" ref="C21">SUM(SUMIFS(flu_eth_ep[fl_staff],flu_eth_ep[Ethnicity],$B21,flu_eth_ep[trust_type],{"Acute","Acute &amp; Community"}))</f>
        <v>1020</v>
      </c>
      <c r="D21" s="6" cm="1">
        <f t="array" ref="D21">SUM(SUMIFS(flu_eth_ep[fl_doses],flu_eth_ep[Ethnicity],$B21,flu_eth_ep[trust_type],{"Acute","Acute &amp; Community"}))</f>
        <v>479</v>
      </c>
      <c r="E21" s="7">
        <f t="shared" si="5"/>
        <v>0.4696078431372549</v>
      </c>
      <c r="I21" s="2">
        <f t="shared" si="6"/>
        <v>4</v>
      </c>
      <c r="K21" s="2">
        <v>6</v>
      </c>
      <c r="M21" s="5" t="str">
        <f t="shared" si="7"/>
        <v>C: White - Any other White background</v>
      </c>
      <c r="N21" s="6">
        <f t="shared" si="7"/>
        <v>14803</v>
      </c>
      <c r="O21" s="6">
        <f t="shared" si="7"/>
        <v>5954</v>
      </c>
      <c r="P21" s="7">
        <f t="shared" si="7"/>
        <v>0.40221576707424173</v>
      </c>
      <c r="AD21"/>
    </row>
    <row r="22" spans="2:30" x14ac:dyDescent="0.35">
      <c r="B22" s="5" t="s">
        <v>608</v>
      </c>
      <c r="C22" s="6" cm="1">
        <f t="array" ref="C22">SUM(SUMIFS(flu_eth_ep[fl_staff],flu_eth_ep[Ethnicity],$B22,flu_eth_ep[trust_type],{"Acute","Acute &amp; Community"}))</f>
        <v>2173</v>
      </c>
      <c r="D22" s="6" cm="1">
        <f t="array" ref="D22">SUM(SUMIFS(flu_eth_ep[fl_doses],flu_eth_ep[Ethnicity],$B22,flu_eth_ep[trust_type],{"Acute","Acute &amp; Community"}))</f>
        <v>874</v>
      </c>
      <c r="E22" s="7">
        <f t="shared" si="5"/>
        <v>0.40220892774965483</v>
      </c>
      <c r="I22" s="2">
        <f t="shared" si="6"/>
        <v>7</v>
      </c>
      <c r="K22" s="2">
        <v>7</v>
      </c>
      <c r="M22" s="5" t="str">
        <f t="shared" si="7"/>
        <v>G: Mixed - Any other Mixed background</v>
      </c>
      <c r="N22" s="6">
        <f t="shared" si="7"/>
        <v>2173</v>
      </c>
      <c r="O22" s="6">
        <f t="shared" si="7"/>
        <v>874</v>
      </c>
      <c r="P22" s="7">
        <f t="shared" si="7"/>
        <v>0.40220892774965483</v>
      </c>
      <c r="AD22"/>
    </row>
    <row r="23" spans="2:30" x14ac:dyDescent="0.35">
      <c r="B23" s="5" t="s">
        <v>123</v>
      </c>
      <c r="C23" s="6" cm="1">
        <f t="array" ref="C23">SUM(SUMIFS(flu_eth_ep[fl_staff],flu_eth_ep[Ethnicity],$B23,flu_eth_ep[trust_type],{"Acute","Acute &amp; Community"}))</f>
        <v>13619</v>
      </c>
      <c r="D23" s="6" cm="1">
        <f t="array" ref="D23">SUM(SUMIFS(flu_eth_ep[fl_doses],flu_eth_ep[Ethnicity],$B23,flu_eth_ep[trust_type],{"Acute","Acute &amp; Community"}))</f>
        <v>5332</v>
      </c>
      <c r="E23" s="7">
        <f t="shared" si="5"/>
        <v>0.39151185843307146</v>
      </c>
      <c r="I23" s="2">
        <f t="shared" si="6"/>
        <v>9</v>
      </c>
      <c r="K23" s="2">
        <v>8</v>
      </c>
      <c r="M23" s="5" t="str">
        <f t="shared" si="7"/>
        <v>S: Other ethnic groups - Any other ethnic group</v>
      </c>
      <c r="N23" s="6">
        <f t="shared" si="7"/>
        <v>10533</v>
      </c>
      <c r="O23" s="6">
        <f t="shared" si="7"/>
        <v>4151</v>
      </c>
      <c r="P23" s="7">
        <f t="shared" si="7"/>
        <v>0.39409474983385551</v>
      </c>
      <c r="AD23"/>
    </row>
    <row r="24" spans="2:30" x14ac:dyDescent="0.35">
      <c r="B24" s="5" t="s">
        <v>82</v>
      </c>
      <c r="C24" s="6" cm="1">
        <f t="array" ref="C24">SUM(SUMIFS(flu_eth_ep[fl_staff],flu_eth_ep[Ethnicity],$B24,flu_eth_ep[trust_type],{"Acute","Acute &amp; Community"}))</f>
        <v>3243</v>
      </c>
      <c r="D24" s="6" cm="1">
        <f t="array" ref="D24">SUM(SUMIFS(flu_eth_ep[fl_doses],flu_eth_ep[Ethnicity],$B24,flu_eth_ep[trust_type],{"Acute","Acute &amp; Community"}))</f>
        <v>991</v>
      </c>
      <c r="E24" s="7">
        <f t="shared" si="5"/>
        <v>0.30558125192722785</v>
      </c>
      <c r="I24" s="2">
        <f t="shared" si="6"/>
        <v>11</v>
      </c>
      <c r="K24" s="2">
        <v>9</v>
      </c>
      <c r="M24" s="5" t="str">
        <f t="shared" si="7"/>
        <v>H: Asian or Asian British - Indian</v>
      </c>
      <c r="N24" s="6">
        <f t="shared" si="7"/>
        <v>13619</v>
      </c>
      <c r="O24" s="6">
        <f t="shared" si="7"/>
        <v>5332</v>
      </c>
      <c r="P24" s="7">
        <f t="shared" si="7"/>
        <v>0.39151185843307146</v>
      </c>
      <c r="AD24"/>
    </row>
    <row r="25" spans="2:30" x14ac:dyDescent="0.35">
      <c r="B25" s="5" t="s">
        <v>88</v>
      </c>
      <c r="C25" s="6" cm="1">
        <f t="array" ref="C25">SUM(SUMIFS(flu_eth_ep[fl_staff],flu_eth_ep[Ethnicity],$B25,flu_eth_ep[trust_type],{"Acute","Acute &amp; Community"}))</f>
        <v>2911</v>
      </c>
      <c r="D25" s="6" cm="1">
        <f t="array" ref="D25">SUM(SUMIFS(flu_eth_ep[fl_doses],flu_eth_ep[Ethnicity],$B25,flu_eth_ep[trust_type],{"Acute","Acute &amp; Community"}))</f>
        <v>731</v>
      </c>
      <c r="E25" s="7">
        <f t="shared" si="5"/>
        <v>0.25111645482652012</v>
      </c>
      <c r="I25" s="2">
        <f t="shared" si="6"/>
        <v>15</v>
      </c>
      <c r="K25" s="2">
        <v>10</v>
      </c>
      <c r="M25" s="5" t="str">
        <f t="shared" si="7"/>
        <v>X: Unknown</v>
      </c>
      <c r="N25" s="6">
        <f t="shared" si="7"/>
        <v>8949</v>
      </c>
      <c r="O25" s="6">
        <f t="shared" si="7"/>
        <v>3401</v>
      </c>
      <c r="P25" s="7">
        <f t="shared" si="7"/>
        <v>0.38004246284501064</v>
      </c>
      <c r="AD25"/>
    </row>
    <row r="26" spans="2:30" x14ac:dyDescent="0.35">
      <c r="B26" s="5" t="s">
        <v>141</v>
      </c>
      <c r="C26" s="6" cm="1">
        <f t="array" ref="C26">SUM(SUMIFS(flu_eth_ep[fl_staff],flu_eth_ep[Ethnicity],$B26,flu_eth_ep[trust_type],{"Acute","Acute &amp; Community"}))</f>
        <v>15803</v>
      </c>
      <c r="D26" s="6" cm="1">
        <f t="array" ref="D26">SUM(SUMIFS(flu_eth_ep[fl_doses],flu_eth_ep[Ethnicity],$B26,flu_eth_ep[trust_type],{"Acute","Acute &amp; Community"}))</f>
        <v>6599</v>
      </c>
      <c r="E26" s="7">
        <f t="shared" si="5"/>
        <v>0.4175789407074606</v>
      </c>
      <c r="I26" s="2">
        <f t="shared" si="6"/>
        <v>5</v>
      </c>
      <c r="K26" s="2">
        <v>11</v>
      </c>
      <c r="M26" s="5" t="str">
        <f t="shared" si="7"/>
        <v>J: Asian or Asian British - Pakistani</v>
      </c>
      <c r="N26" s="6">
        <f t="shared" si="7"/>
        <v>3243</v>
      </c>
      <c r="O26" s="6">
        <f t="shared" si="7"/>
        <v>991</v>
      </c>
      <c r="P26" s="7">
        <f t="shared" si="7"/>
        <v>0.30558125192722785</v>
      </c>
      <c r="AD26"/>
    </row>
    <row r="27" spans="2:30" x14ac:dyDescent="0.35">
      <c r="B27" s="5" t="s">
        <v>61</v>
      </c>
      <c r="C27" s="6" cm="1">
        <f t="array" ref="C27">SUM(SUMIFS(flu_eth_ep[fl_staff],flu_eth_ep[Ethnicity],$B27,flu_eth_ep[trust_type],{"Acute","Acute &amp; Community"}))</f>
        <v>4107</v>
      </c>
      <c r="D27" s="6" cm="1">
        <f t="array" ref="D27">SUM(SUMIFS(flu_eth_ep[fl_doses],flu_eth_ep[Ethnicity],$B27,flu_eth_ep[trust_type],{"Acute","Acute &amp; Community"}))</f>
        <v>837</v>
      </c>
      <c r="E27" s="7">
        <f t="shared" si="5"/>
        <v>0.20379839298758218</v>
      </c>
      <c r="I27" s="2">
        <f t="shared" si="6"/>
        <v>17</v>
      </c>
      <c r="K27" s="2">
        <v>12</v>
      </c>
      <c r="M27" s="5" t="str">
        <f t="shared" si="7"/>
        <v>E: Mixed - White and Black African</v>
      </c>
      <c r="N27" s="6">
        <f t="shared" si="7"/>
        <v>1575</v>
      </c>
      <c r="O27" s="6">
        <f t="shared" si="7"/>
        <v>419</v>
      </c>
      <c r="P27" s="7">
        <f t="shared" si="7"/>
        <v>0.26603174603174601</v>
      </c>
      <c r="AD27"/>
    </row>
    <row r="28" spans="2:30" x14ac:dyDescent="0.35">
      <c r="B28" s="5" t="s">
        <v>100</v>
      </c>
      <c r="C28" s="6" cm="1">
        <f t="array" ref="C28">SUM(SUMIFS(flu_eth_ep[fl_staff],flu_eth_ep[Ethnicity],$B28,flu_eth_ep[trust_type],{"Acute","Acute &amp; Community"}))</f>
        <v>20778</v>
      </c>
      <c r="D28" s="6" cm="1">
        <f t="array" ref="D28">SUM(SUMIFS(flu_eth_ep[fl_doses],flu_eth_ep[Ethnicity],$B28,flu_eth_ep[trust_type],{"Acute","Acute &amp; Community"}))</f>
        <v>5290</v>
      </c>
      <c r="E28" s="7">
        <f t="shared" si="5"/>
        <v>0.2545962075271922</v>
      </c>
      <c r="I28" s="2">
        <f t="shared" si="6"/>
        <v>14</v>
      </c>
      <c r="K28" s="2">
        <v>13</v>
      </c>
      <c r="M28" s="5" t="str">
        <f t="shared" si="7"/>
        <v>D: Mixed - White and Black Caribbean</v>
      </c>
      <c r="N28" s="6">
        <f t="shared" si="7"/>
        <v>823</v>
      </c>
      <c r="O28" s="6">
        <f t="shared" si="7"/>
        <v>211</v>
      </c>
      <c r="P28" s="7">
        <f t="shared" si="7"/>
        <v>0.25637910085054677</v>
      </c>
      <c r="AD28"/>
    </row>
    <row r="29" spans="2:30" x14ac:dyDescent="0.35">
      <c r="B29" s="5" t="s">
        <v>75</v>
      </c>
      <c r="C29" s="6" cm="1">
        <f t="array" ref="C29">SUM(SUMIFS(flu_eth_ep[fl_staff],flu_eth_ep[Ethnicity],$B29,flu_eth_ep[trust_type],{"Acute","Acute &amp; Community"}))</f>
        <v>5489</v>
      </c>
      <c r="D29" s="6" cm="1">
        <f t="array" ref="D29">SUM(SUMIFS(flu_eth_ep[fl_doses],flu_eth_ep[Ethnicity],$B29,flu_eth_ep[trust_type],{"Acute","Acute &amp; Community"}))</f>
        <v>1273</v>
      </c>
      <c r="E29" s="7">
        <f t="shared" si="5"/>
        <v>0.23191838221898342</v>
      </c>
      <c r="I29" s="2">
        <f t="shared" si="6"/>
        <v>16</v>
      </c>
      <c r="K29" s="2">
        <v>14</v>
      </c>
      <c r="M29" s="5" t="str">
        <f t="shared" si="7"/>
        <v>N: Black or Black British - African</v>
      </c>
      <c r="N29" s="6">
        <f t="shared" si="7"/>
        <v>20778</v>
      </c>
      <c r="O29" s="6">
        <f t="shared" si="7"/>
        <v>5290</v>
      </c>
      <c r="P29" s="7">
        <f t="shared" si="7"/>
        <v>0.2545962075271922</v>
      </c>
      <c r="AD29"/>
    </row>
    <row r="30" spans="2:30" x14ac:dyDescent="0.35">
      <c r="B30" s="5" t="s">
        <v>106</v>
      </c>
      <c r="C30" s="6" cm="1">
        <f t="array" ref="C30">SUM(SUMIFS(flu_eth_ep[fl_staff],flu_eth_ep[Ethnicity],$B30,flu_eth_ep[trust_type],{"Acute","Acute &amp; Community"}))</f>
        <v>2075</v>
      </c>
      <c r="D30" s="6" cm="1">
        <f t="array" ref="D30">SUM(SUMIFS(flu_eth_ep[fl_doses],flu_eth_ep[Ethnicity],$B30,flu_eth_ep[trust_type],{"Acute","Acute &amp; Community"}))</f>
        <v>1081</v>
      </c>
      <c r="E30" s="7">
        <f t="shared" si="5"/>
        <v>0.52096385542168677</v>
      </c>
      <c r="I30" s="2">
        <f t="shared" si="6"/>
        <v>3</v>
      </c>
      <c r="K30" s="2">
        <v>15</v>
      </c>
      <c r="M30" s="5" t="str">
        <f t="shared" si="7"/>
        <v>K: Asian or Asian British - Bangladeshi</v>
      </c>
      <c r="N30" s="6">
        <f t="shared" si="7"/>
        <v>2911</v>
      </c>
      <c r="O30" s="6">
        <f t="shared" si="7"/>
        <v>731</v>
      </c>
      <c r="P30" s="7">
        <f t="shared" si="7"/>
        <v>0.25111645482652012</v>
      </c>
      <c r="AD30"/>
    </row>
    <row r="31" spans="2:30" x14ac:dyDescent="0.35">
      <c r="B31" s="5" t="s">
        <v>112</v>
      </c>
      <c r="C31" s="6" cm="1">
        <f t="array" ref="C31">SUM(SUMIFS(flu_eth_ep[fl_staff],flu_eth_ep[Ethnicity],$B31,flu_eth_ep[trust_type],{"Acute","Acute &amp; Community"}))</f>
        <v>10533</v>
      </c>
      <c r="D31" s="6" cm="1">
        <f t="array" ref="D31">SUM(SUMIFS(flu_eth_ep[fl_doses],flu_eth_ep[Ethnicity],$B31,flu_eth_ep[trust_type],{"Acute","Acute &amp; Community"}))</f>
        <v>4151</v>
      </c>
      <c r="E31" s="7">
        <f t="shared" si="5"/>
        <v>0.39409474983385551</v>
      </c>
      <c r="I31" s="2">
        <f t="shared" si="6"/>
        <v>8</v>
      </c>
      <c r="K31" s="2">
        <v>16</v>
      </c>
      <c r="M31" s="5" t="str">
        <f t="shared" si="7"/>
        <v>P: Black or Black British - Any other Black background</v>
      </c>
      <c r="N31" s="6">
        <f t="shared" si="7"/>
        <v>5489</v>
      </c>
      <c r="O31" s="6">
        <f t="shared" si="7"/>
        <v>1273</v>
      </c>
      <c r="P31" s="7">
        <f t="shared" si="7"/>
        <v>0.23191838221898342</v>
      </c>
      <c r="AD31"/>
    </row>
    <row r="32" spans="2:30" x14ac:dyDescent="0.35">
      <c r="B32" s="5" t="s">
        <v>36</v>
      </c>
      <c r="C32" s="6" cm="1">
        <f t="array" ref="C32">SUM(SUMIFS(flu_eth_ep[fl_staff],flu_eth_ep[Ethnicity],$B32,flu_eth_ep[trust_type],{"Acute","Acute &amp; Community"}))</f>
        <v>8949</v>
      </c>
      <c r="D32" s="6" cm="1">
        <f t="array" ref="D32">SUM(SUMIFS(flu_eth_ep[fl_doses],flu_eth_ep[Ethnicity],$B32,flu_eth_ep[trust_type],{"Acute","Acute &amp; Community"}))</f>
        <v>3401</v>
      </c>
      <c r="E32" s="7">
        <f t="shared" si="5"/>
        <v>0.38004246284501064</v>
      </c>
      <c r="I32" s="2">
        <f t="shared" si="6"/>
        <v>10</v>
      </c>
      <c r="K32" s="2">
        <v>17</v>
      </c>
      <c r="M32" s="5" t="str">
        <f t="shared" si="7"/>
        <v>M: Black or Black British - Caribbean</v>
      </c>
      <c r="N32" s="6">
        <f t="shared" si="7"/>
        <v>4107</v>
      </c>
      <c r="O32" s="6">
        <f t="shared" si="7"/>
        <v>837</v>
      </c>
      <c r="P32" s="7">
        <f t="shared" si="7"/>
        <v>0.20379839298758218</v>
      </c>
      <c r="AD32"/>
    </row>
    <row r="33" spans="36:36" x14ac:dyDescent="0.35">
      <c r="AJ33"/>
    </row>
    <row r="34" spans="36:36" x14ac:dyDescent="0.35">
      <c r="AJ34"/>
    </row>
    <row r="35" spans="36:36" x14ac:dyDescent="0.35">
      <c r="AJ35"/>
    </row>
    <row r="36" spans="36:36" x14ac:dyDescent="0.35">
      <c r="AJ36"/>
    </row>
    <row r="37" spans="36:36" x14ac:dyDescent="0.35">
      <c r="AJ37"/>
    </row>
    <row r="38" spans="36:36" x14ac:dyDescent="0.35">
      <c r="AJ38"/>
    </row>
    <row r="39" spans="36:36" x14ac:dyDescent="0.35">
      <c r="AJ39"/>
    </row>
    <row r="40" spans="36:36" x14ac:dyDescent="0.35">
      <c r="AJ40"/>
    </row>
    <row r="41" spans="36:36" x14ac:dyDescent="0.35">
      <c r="AJ41"/>
    </row>
    <row r="42" spans="36:36" x14ac:dyDescent="0.35">
      <c r="AJ42"/>
    </row>
    <row r="43" spans="36:36" x14ac:dyDescent="0.35">
      <c r="AJ43"/>
    </row>
    <row r="44" spans="36:36" x14ac:dyDescent="0.35">
      <c r="AJ44"/>
    </row>
    <row r="45" spans="36:36" x14ac:dyDescent="0.35">
      <c r="AJ45"/>
    </row>
    <row r="46" spans="36:36" x14ac:dyDescent="0.35">
      <c r="AJ46"/>
    </row>
    <row r="47" spans="36:36" x14ac:dyDescent="0.35">
      <c r="AJ47"/>
    </row>
    <row r="48" spans="36:36" x14ac:dyDescent="0.35">
      <c r="AJ48"/>
    </row>
    <row r="49" spans="36:36" x14ac:dyDescent="0.35">
      <c r="AJ49"/>
    </row>
    <row r="50" spans="36:36" x14ac:dyDescent="0.35">
      <c r="AJ50"/>
    </row>
    <row r="51" spans="36:36" x14ac:dyDescent="0.35">
      <c r="AJ51"/>
    </row>
    <row r="52" spans="36:36" x14ac:dyDescent="0.35">
      <c r="AJ52"/>
    </row>
    <row r="53" spans="36:36" x14ac:dyDescent="0.35">
      <c r="AJ53"/>
    </row>
    <row r="54" spans="36:36" x14ac:dyDescent="0.35">
      <c r="AJ54"/>
    </row>
    <row r="55" spans="36:36" x14ac:dyDescent="0.35">
      <c r="AJ55"/>
    </row>
    <row r="56" spans="36:36" x14ac:dyDescent="0.35">
      <c r="AJ56"/>
    </row>
    <row r="57" spans="36:36" x14ac:dyDescent="0.35">
      <c r="AJ57"/>
    </row>
    <row r="58" spans="36:36" x14ac:dyDescent="0.35">
      <c r="AJ58"/>
    </row>
    <row r="59" spans="36:36" x14ac:dyDescent="0.35">
      <c r="AJ59"/>
    </row>
    <row r="60" spans="36:36" x14ac:dyDescent="0.35">
      <c r="AJ60"/>
    </row>
    <row r="61" spans="36:36" x14ac:dyDescent="0.35">
      <c r="AJ61"/>
    </row>
    <row r="62" spans="36:36" x14ac:dyDescent="0.35">
      <c r="AJ62"/>
    </row>
    <row r="63" spans="36:36" x14ac:dyDescent="0.35">
      <c r="AJ63"/>
    </row>
    <row r="64" spans="36:36" x14ac:dyDescent="0.35">
      <c r="AJ64"/>
    </row>
    <row r="65" spans="36:36" x14ac:dyDescent="0.35">
      <c r="AJ65"/>
    </row>
    <row r="66" spans="36:36" x14ac:dyDescent="0.35">
      <c r="AJ66"/>
    </row>
    <row r="67" spans="36:36" x14ac:dyDescent="0.35">
      <c r="AJ67"/>
    </row>
    <row r="68" spans="36:36" x14ac:dyDescent="0.35">
      <c r="AJ68"/>
    </row>
    <row r="69" spans="36:36" x14ac:dyDescent="0.35">
      <c r="AJ69"/>
    </row>
    <row r="70" spans="36:36" x14ac:dyDescent="0.35">
      <c r="AJ70"/>
    </row>
    <row r="71" spans="36:36" x14ac:dyDescent="0.35">
      <c r="AJ71"/>
    </row>
    <row r="72" spans="36:36" x14ac:dyDescent="0.35">
      <c r="AJ72"/>
    </row>
    <row r="73" spans="36:36" x14ac:dyDescent="0.35">
      <c r="AJ73"/>
    </row>
    <row r="74" spans="36:36" x14ac:dyDescent="0.35">
      <c r="AJ74"/>
    </row>
    <row r="75" spans="36:36" x14ac:dyDescent="0.35">
      <c r="AJ75"/>
    </row>
    <row r="76" spans="36:36" x14ac:dyDescent="0.35">
      <c r="AJ76"/>
    </row>
    <row r="77" spans="36:36" x14ac:dyDescent="0.35">
      <c r="AJ77"/>
    </row>
    <row r="78" spans="36:36" x14ac:dyDescent="0.35">
      <c r="AJ78"/>
    </row>
    <row r="79" spans="36:36" x14ac:dyDescent="0.35">
      <c r="AJ79"/>
    </row>
    <row r="80" spans="36:36" x14ac:dyDescent="0.35">
      <c r="AJ80"/>
    </row>
    <row r="81" spans="36:36" x14ac:dyDescent="0.35">
      <c r="AJ81"/>
    </row>
    <row r="82" spans="36:36" x14ac:dyDescent="0.35">
      <c r="AJ82"/>
    </row>
    <row r="83" spans="36:36" x14ac:dyDescent="0.35">
      <c r="AJ83"/>
    </row>
    <row r="84" spans="36:36" x14ac:dyDescent="0.35">
      <c r="AJ84"/>
    </row>
    <row r="85" spans="36:36" x14ac:dyDescent="0.35">
      <c r="AJ85"/>
    </row>
    <row r="86" spans="36:36" x14ac:dyDescent="0.35">
      <c r="AJ86"/>
    </row>
    <row r="87" spans="36:36" x14ac:dyDescent="0.35">
      <c r="AJ87"/>
    </row>
    <row r="88" spans="36:36" x14ac:dyDescent="0.35">
      <c r="AJ88"/>
    </row>
    <row r="89" spans="36:36" x14ac:dyDescent="0.35">
      <c r="AJ89"/>
    </row>
    <row r="90" spans="36:36" x14ac:dyDescent="0.35">
      <c r="AJ90"/>
    </row>
    <row r="91" spans="36:36" x14ac:dyDescent="0.35">
      <c r="AJ91"/>
    </row>
    <row r="92" spans="36:36" x14ac:dyDescent="0.35">
      <c r="AJ92"/>
    </row>
    <row r="93" spans="36:36" x14ac:dyDescent="0.35">
      <c r="AJ93"/>
    </row>
    <row r="94" spans="36:36" x14ac:dyDescent="0.35">
      <c r="AJ94"/>
    </row>
    <row r="95" spans="36:36" x14ac:dyDescent="0.35">
      <c r="AJ95"/>
    </row>
    <row r="96" spans="36:36" x14ac:dyDescent="0.35">
      <c r="AJ96"/>
    </row>
    <row r="97" spans="36:36" x14ac:dyDescent="0.35">
      <c r="AJ97"/>
    </row>
    <row r="98" spans="36:36" x14ac:dyDescent="0.35">
      <c r="AJ98"/>
    </row>
    <row r="99" spans="36:36" x14ac:dyDescent="0.35">
      <c r="AJ99"/>
    </row>
    <row r="100" spans="36:36" x14ac:dyDescent="0.35">
      <c r="AJ100"/>
    </row>
    <row r="101" spans="36:36" x14ac:dyDescent="0.35">
      <c r="AJ101"/>
    </row>
    <row r="102" spans="36:36" x14ac:dyDescent="0.35">
      <c r="AJ102"/>
    </row>
    <row r="103" spans="36:36" x14ac:dyDescent="0.35">
      <c r="AJ103"/>
    </row>
    <row r="104" spans="36:36" x14ac:dyDescent="0.35">
      <c r="AJ104"/>
    </row>
    <row r="105" spans="36:36" x14ac:dyDescent="0.35">
      <c r="AJ105"/>
    </row>
    <row r="106" spans="36:36" x14ac:dyDescent="0.35">
      <c r="AJ106"/>
    </row>
    <row r="107" spans="36:36" x14ac:dyDescent="0.35">
      <c r="AJ107"/>
    </row>
    <row r="108" spans="36:36" x14ac:dyDescent="0.35">
      <c r="AJ108"/>
    </row>
    <row r="109" spans="36:36" x14ac:dyDescent="0.35">
      <c r="AJ109"/>
    </row>
    <row r="110" spans="36:36" x14ac:dyDescent="0.35">
      <c r="AJ110"/>
    </row>
    <row r="111" spans="36:36" x14ac:dyDescent="0.35">
      <c r="AJ111"/>
    </row>
    <row r="112" spans="36:36" x14ac:dyDescent="0.35">
      <c r="AJ112"/>
    </row>
    <row r="113" spans="36:36" x14ac:dyDescent="0.35">
      <c r="AJ113"/>
    </row>
    <row r="114" spans="36:36" x14ac:dyDescent="0.35">
      <c r="AJ114"/>
    </row>
    <row r="115" spans="36:36" x14ac:dyDescent="0.35">
      <c r="AJ115"/>
    </row>
    <row r="116" spans="36:36" x14ac:dyDescent="0.35">
      <c r="AJ116"/>
    </row>
    <row r="117" spans="36:36" x14ac:dyDescent="0.35">
      <c r="AJ117"/>
    </row>
    <row r="118" spans="36:36" x14ac:dyDescent="0.35">
      <c r="AJ118"/>
    </row>
    <row r="119" spans="36:36" x14ac:dyDescent="0.35">
      <c r="AJ119"/>
    </row>
    <row r="120" spans="36:36" x14ac:dyDescent="0.35">
      <c r="AJ120"/>
    </row>
    <row r="121" spans="36:36" x14ac:dyDescent="0.35">
      <c r="AJ121"/>
    </row>
    <row r="122" spans="36:36" x14ac:dyDescent="0.35">
      <c r="AJ122"/>
    </row>
    <row r="123" spans="36:36" x14ac:dyDescent="0.35">
      <c r="AJ123"/>
    </row>
    <row r="124" spans="36:36" x14ac:dyDescent="0.35">
      <c r="AJ124"/>
    </row>
    <row r="125" spans="36:36" x14ac:dyDescent="0.35">
      <c r="AJ125"/>
    </row>
    <row r="126" spans="36:36" x14ac:dyDescent="0.35">
      <c r="AJ126"/>
    </row>
    <row r="127" spans="36:36" x14ac:dyDescent="0.35">
      <c r="AJ127"/>
    </row>
    <row r="128" spans="36:36" x14ac:dyDescent="0.35">
      <c r="AJ128"/>
    </row>
    <row r="129" spans="36:36" x14ac:dyDescent="0.35">
      <c r="AJ129"/>
    </row>
    <row r="130" spans="36:36" x14ac:dyDescent="0.35">
      <c r="AJ130"/>
    </row>
    <row r="131" spans="36:36" x14ac:dyDescent="0.35">
      <c r="AJ131"/>
    </row>
    <row r="132" spans="36:36" x14ac:dyDescent="0.35">
      <c r="AJ132"/>
    </row>
    <row r="133" spans="36:36" x14ac:dyDescent="0.35">
      <c r="AJ133"/>
    </row>
    <row r="134" spans="36:36" x14ac:dyDescent="0.35">
      <c r="AJ134"/>
    </row>
    <row r="135" spans="36:36" x14ac:dyDescent="0.35">
      <c r="AJ135"/>
    </row>
    <row r="136" spans="36:36" x14ac:dyDescent="0.35">
      <c r="AJ136"/>
    </row>
    <row r="137" spans="36:36" x14ac:dyDescent="0.35">
      <c r="AJ137"/>
    </row>
    <row r="138" spans="36:36" x14ac:dyDescent="0.35">
      <c r="AJ138"/>
    </row>
    <row r="139" spans="36:36" x14ac:dyDescent="0.35">
      <c r="AJ139"/>
    </row>
    <row r="140" spans="36:36" x14ac:dyDescent="0.35">
      <c r="AJ140"/>
    </row>
    <row r="141" spans="36:36" x14ac:dyDescent="0.35">
      <c r="AJ141"/>
    </row>
    <row r="142" spans="36:36" x14ac:dyDescent="0.35">
      <c r="AJ142"/>
    </row>
    <row r="143" spans="36:36" x14ac:dyDescent="0.35">
      <c r="AJ143"/>
    </row>
    <row r="144" spans="36:36" x14ac:dyDescent="0.35">
      <c r="AJ144"/>
    </row>
    <row r="145" spans="36:36" x14ac:dyDescent="0.35">
      <c r="AJ145"/>
    </row>
    <row r="146" spans="36:36" x14ac:dyDescent="0.35">
      <c r="AJ146"/>
    </row>
    <row r="147" spans="36:36" x14ac:dyDescent="0.35">
      <c r="AJ147"/>
    </row>
    <row r="148" spans="36:36" x14ac:dyDescent="0.35">
      <c r="AJ148"/>
    </row>
    <row r="149" spans="36:36" x14ac:dyDescent="0.35">
      <c r="AJ149"/>
    </row>
    <row r="150" spans="36:36" x14ac:dyDescent="0.35">
      <c r="AJ150"/>
    </row>
    <row r="151" spans="36:36" x14ac:dyDescent="0.35">
      <c r="AJ151"/>
    </row>
    <row r="152" spans="36:36" x14ac:dyDescent="0.35">
      <c r="AJ152"/>
    </row>
    <row r="153" spans="36:36" x14ac:dyDescent="0.35">
      <c r="AJ153"/>
    </row>
    <row r="154" spans="36:36" x14ac:dyDescent="0.35">
      <c r="AJ154"/>
    </row>
    <row r="155" spans="36:36" x14ac:dyDescent="0.35">
      <c r="AJ155"/>
    </row>
    <row r="156" spans="36:36" x14ac:dyDescent="0.35">
      <c r="AJ156"/>
    </row>
    <row r="157" spans="36:36" x14ac:dyDescent="0.35">
      <c r="AJ157"/>
    </row>
    <row r="158" spans="36:36" x14ac:dyDescent="0.35">
      <c r="AJ158"/>
    </row>
    <row r="159" spans="36:36" x14ac:dyDescent="0.35">
      <c r="AJ159"/>
    </row>
    <row r="160" spans="36:36" x14ac:dyDescent="0.35">
      <c r="AJ160"/>
    </row>
    <row r="161" spans="36:36" x14ac:dyDescent="0.35">
      <c r="AJ161"/>
    </row>
    <row r="162" spans="36:36" x14ac:dyDescent="0.35">
      <c r="AJ162"/>
    </row>
    <row r="163" spans="36:36" x14ac:dyDescent="0.35">
      <c r="AJ163"/>
    </row>
    <row r="164" spans="36:36" x14ac:dyDescent="0.35">
      <c r="AJ164"/>
    </row>
    <row r="165" spans="36:36" x14ac:dyDescent="0.35">
      <c r="AJ165"/>
    </row>
    <row r="166" spans="36:36" x14ac:dyDescent="0.35">
      <c r="AJ166"/>
    </row>
    <row r="167" spans="36:36" x14ac:dyDescent="0.35">
      <c r="AJ167"/>
    </row>
    <row r="168" spans="36:36" x14ac:dyDescent="0.35">
      <c r="AJ168"/>
    </row>
    <row r="169" spans="36:36" x14ac:dyDescent="0.35">
      <c r="AJ169"/>
    </row>
    <row r="170" spans="36:36" x14ac:dyDescent="0.35">
      <c r="AJ170"/>
    </row>
    <row r="171" spans="36:36" x14ac:dyDescent="0.35">
      <c r="AJ171"/>
    </row>
    <row r="172" spans="36:36" x14ac:dyDescent="0.35">
      <c r="AJ172"/>
    </row>
    <row r="173" spans="36:36" x14ac:dyDescent="0.35">
      <c r="AJ173"/>
    </row>
    <row r="174" spans="36:36" x14ac:dyDescent="0.35">
      <c r="AJ174"/>
    </row>
    <row r="175" spans="36:36" x14ac:dyDescent="0.35">
      <c r="AJ175"/>
    </row>
    <row r="176" spans="36:36" x14ac:dyDescent="0.35">
      <c r="AJ176"/>
    </row>
    <row r="177" spans="36:36" x14ac:dyDescent="0.35">
      <c r="AJ177"/>
    </row>
    <row r="178" spans="36:36" x14ac:dyDescent="0.35">
      <c r="AJ178"/>
    </row>
    <row r="179" spans="36:36" x14ac:dyDescent="0.35">
      <c r="AJ179"/>
    </row>
    <row r="180" spans="36:36" x14ac:dyDescent="0.35">
      <c r="AJ180"/>
    </row>
    <row r="181" spans="36:36" x14ac:dyDescent="0.35">
      <c r="AJ181"/>
    </row>
    <row r="182" spans="36:36" x14ac:dyDescent="0.35">
      <c r="AJ182"/>
    </row>
    <row r="183" spans="36:36" x14ac:dyDescent="0.35">
      <c r="AJ183"/>
    </row>
    <row r="184" spans="36:36" x14ac:dyDescent="0.35">
      <c r="AJ184"/>
    </row>
    <row r="185" spans="36:36" x14ac:dyDescent="0.35">
      <c r="AJ185"/>
    </row>
    <row r="186" spans="36:36" x14ac:dyDescent="0.35">
      <c r="AJ186"/>
    </row>
    <row r="187" spans="36:36" x14ac:dyDescent="0.35">
      <c r="AJ187"/>
    </row>
    <row r="188" spans="36:36" x14ac:dyDescent="0.35">
      <c r="AJ188"/>
    </row>
    <row r="189" spans="36:36" x14ac:dyDescent="0.35">
      <c r="AJ189"/>
    </row>
    <row r="190" spans="36:36" x14ac:dyDescent="0.35">
      <c r="AJ190"/>
    </row>
    <row r="191" spans="36:36" x14ac:dyDescent="0.35">
      <c r="AJ191"/>
    </row>
    <row r="192" spans="36:36" x14ac:dyDescent="0.35">
      <c r="AJ192"/>
    </row>
    <row r="193" spans="36:36" x14ac:dyDescent="0.35">
      <c r="AJ193"/>
    </row>
    <row r="194" spans="36:36" x14ac:dyDescent="0.35">
      <c r="AJ194"/>
    </row>
    <row r="195" spans="36:36" x14ac:dyDescent="0.35">
      <c r="AJ195"/>
    </row>
    <row r="196" spans="36:36" x14ac:dyDescent="0.35">
      <c r="AJ196"/>
    </row>
    <row r="197" spans="36:36" x14ac:dyDescent="0.35">
      <c r="AJ197"/>
    </row>
    <row r="198" spans="36:36" x14ac:dyDescent="0.35">
      <c r="AJ198"/>
    </row>
    <row r="199" spans="36:36" x14ac:dyDescent="0.35">
      <c r="AJ199"/>
    </row>
    <row r="200" spans="36:36" x14ac:dyDescent="0.35">
      <c r="AJ200"/>
    </row>
    <row r="201" spans="36:36" x14ac:dyDescent="0.35">
      <c r="AJ201"/>
    </row>
    <row r="202" spans="36:36" x14ac:dyDescent="0.35">
      <c r="AJ202"/>
    </row>
    <row r="203" spans="36:36" x14ac:dyDescent="0.35">
      <c r="AJ203"/>
    </row>
    <row r="204" spans="36:36" x14ac:dyDescent="0.35">
      <c r="AJ204"/>
    </row>
    <row r="205" spans="36:36" x14ac:dyDescent="0.35">
      <c r="AJ205"/>
    </row>
    <row r="206" spans="36:36" x14ac:dyDescent="0.35">
      <c r="AJ206"/>
    </row>
    <row r="207" spans="36:36" x14ac:dyDescent="0.35">
      <c r="AJ207"/>
    </row>
    <row r="208" spans="36:36" x14ac:dyDescent="0.35">
      <c r="AJ208"/>
    </row>
    <row r="209" spans="36:36" x14ac:dyDescent="0.35">
      <c r="AJ209"/>
    </row>
    <row r="210" spans="36:36" x14ac:dyDescent="0.35">
      <c r="AJ210"/>
    </row>
    <row r="211" spans="36:36" x14ac:dyDescent="0.35">
      <c r="AJ211"/>
    </row>
    <row r="212" spans="36:36" x14ac:dyDescent="0.35">
      <c r="AJ212"/>
    </row>
    <row r="213" spans="36:36" x14ac:dyDescent="0.35">
      <c r="AJ213"/>
    </row>
    <row r="214" spans="36:36" x14ac:dyDescent="0.35">
      <c r="AJ214"/>
    </row>
    <row r="215" spans="36:36" x14ac:dyDescent="0.35">
      <c r="AJ215"/>
    </row>
    <row r="216" spans="36:36" x14ac:dyDescent="0.35">
      <c r="AJ216"/>
    </row>
    <row r="217" spans="36:36" x14ac:dyDescent="0.35">
      <c r="AJ217"/>
    </row>
    <row r="218" spans="36:36" x14ac:dyDescent="0.35">
      <c r="AJ218"/>
    </row>
    <row r="219" spans="36:36" x14ac:dyDescent="0.35">
      <c r="AJ219"/>
    </row>
    <row r="220" spans="36:36" x14ac:dyDescent="0.35">
      <c r="AJ220"/>
    </row>
    <row r="221" spans="36:36" x14ac:dyDescent="0.35">
      <c r="AJ221"/>
    </row>
    <row r="222" spans="36:36" x14ac:dyDescent="0.35">
      <c r="AJ222"/>
    </row>
    <row r="223" spans="36:36" x14ac:dyDescent="0.35">
      <c r="AJ223"/>
    </row>
    <row r="224" spans="36:36" x14ac:dyDescent="0.35">
      <c r="AJ224"/>
    </row>
    <row r="225" spans="36:36" x14ac:dyDescent="0.35">
      <c r="AJ225"/>
    </row>
    <row r="226" spans="36:36" x14ac:dyDescent="0.35">
      <c r="AJ226"/>
    </row>
    <row r="227" spans="36:36" x14ac:dyDescent="0.35">
      <c r="AJ227"/>
    </row>
    <row r="228" spans="36:36" x14ac:dyDescent="0.35">
      <c r="AJ228"/>
    </row>
    <row r="229" spans="36:36" x14ac:dyDescent="0.35">
      <c r="AJ229"/>
    </row>
    <row r="230" spans="36:36" x14ac:dyDescent="0.35">
      <c r="AJ230"/>
    </row>
    <row r="231" spans="36:36" x14ac:dyDescent="0.35">
      <c r="AJ231"/>
    </row>
    <row r="232" spans="36:36" x14ac:dyDescent="0.35">
      <c r="AJ232"/>
    </row>
    <row r="233" spans="36:36" x14ac:dyDescent="0.35">
      <c r="AJ233"/>
    </row>
    <row r="234" spans="36:36" x14ac:dyDescent="0.35">
      <c r="AJ234"/>
    </row>
    <row r="235" spans="36:36" x14ac:dyDescent="0.35">
      <c r="AJ235"/>
    </row>
    <row r="236" spans="36:36" x14ac:dyDescent="0.35">
      <c r="AJ236"/>
    </row>
    <row r="237" spans="36:36" x14ac:dyDescent="0.35">
      <c r="AJ237"/>
    </row>
    <row r="238" spans="36:36" x14ac:dyDescent="0.35">
      <c r="AJ238"/>
    </row>
    <row r="239" spans="36:36" x14ac:dyDescent="0.35">
      <c r="AJ239"/>
    </row>
    <row r="240" spans="36:36" x14ac:dyDescent="0.35">
      <c r="AJ240"/>
    </row>
    <row r="241" spans="36:36" x14ac:dyDescent="0.35">
      <c r="AJ241"/>
    </row>
    <row r="242" spans="36:36" x14ac:dyDescent="0.35">
      <c r="AJ242"/>
    </row>
    <row r="243" spans="36:36" x14ac:dyDescent="0.35">
      <c r="AJ243"/>
    </row>
    <row r="244" spans="36:36" x14ac:dyDescent="0.35">
      <c r="AJ244"/>
    </row>
    <row r="245" spans="36:36" x14ac:dyDescent="0.35">
      <c r="AJ245"/>
    </row>
    <row r="246" spans="36:36" x14ac:dyDescent="0.35">
      <c r="AJ246"/>
    </row>
    <row r="247" spans="36:36" x14ac:dyDescent="0.35">
      <c r="AJ247"/>
    </row>
    <row r="248" spans="36:36" x14ac:dyDescent="0.35">
      <c r="AJ248"/>
    </row>
    <row r="249" spans="36:36" x14ac:dyDescent="0.35">
      <c r="AJ249"/>
    </row>
    <row r="250" spans="36:36" x14ac:dyDescent="0.35">
      <c r="AJ250"/>
    </row>
    <row r="251" spans="36:36" x14ac:dyDescent="0.35">
      <c r="AJ251"/>
    </row>
    <row r="252" spans="36:36" x14ac:dyDescent="0.35">
      <c r="AJ252"/>
    </row>
    <row r="253" spans="36:36" x14ac:dyDescent="0.35">
      <c r="AJ253"/>
    </row>
    <row r="254" spans="36:36" x14ac:dyDescent="0.35">
      <c r="AJ254"/>
    </row>
    <row r="255" spans="36:36" x14ac:dyDescent="0.35">
      <c r="AJ255"/>
    </row>
    <row r="256" spans="36:36" x14ac:dyDescent="0.35">
      <c r="AJ256"/>
    </row>
    <row r="257" spans="36:36" x14ac:dyDescent="0.35">
      <c r="AJ257"/>
    </row>
    <row r="258" spans="36:36" x14ac:dyDescent="0.35">
      <c r="AJ258"/>
    </row>
    <row r="259" spans="36:36" x14ac:dyDescent="0.35">
      <c r="AJ259"/>
    </row>
    <row r="260" spans="36:36" x14ac:dyDescent="0.35">
      <c r="AJ260"/>
    </row>
    <row r="261" spans="36:36" x14ac:dyDescent="0.35">
      <c r="AJ261"/>
    </row>
    <row r="262" spans="36:36" x14ac:dyDescent="0.35">
      <c r="AJ262"/>
    </row>
    <row r="263" spans="36:36" x14ac:dyDescent="0.35">
      <c r="AJ263"/>
    </row>
    <row r="264" spans="36:36" x14ac:dyDescent="0.35">
      <c r="AJ264"/>
    </row>
    <row r="265" spans="36:36" x14ac:dyDescent="0.35">
      <c r="AJ265"/>
    </row>
    <row r="266" spans="36:36" x14ac:dyDescent="0.35">
      <c r="AJ266"/>
    </row>
    <row r="267" spans="36:36" x14ac:dyDescent="0.35">
      <c r="AJ267"/>
    </row>
    <row r="268" spans="36:36" x14ac:dyDescent="0.35">
      <c r="AJ268"/>
    </row>
    <row r="269" spans="36:36" x14ac:dyDescent="0.35">
      <c r="AJ269"/>
    </row>
    <row r="270" spans="36:36" x14ac:dyDescent="0.35">
      <c r="AJ270"/>
    </row>
    <row r="271" spans="36:36" x14ac:dyDescent="0.35">
      <c r="AJ271"/>
    </row>
    <row r="272" spans="36:36" x14ac:dyDescent="0.35">
      <c r="AJ272"/>
    </row>
    <row r="273" spans="36:36" x14ac:dyDescent="0.35">
      <c r="AJ273"/>
    </row>
    <row r="274" spans="36:36" x14ac:dyDescent="0.35">
      <c r="AJ274"/>
    </row>
    <row r="275" spans="36:36" x14ac:dyDescent="0.35">
      <c r="AJ275"/>
    </row>
    <row r="276" spans="36:36" x14ac:dyDescent="0.35">
      <c r="AJ276"/>
    </row>
    <row r="277" spans="36:36" x14ac:dyDescent="0.35">
      <c r="AJ277"/>
    </row>
    <row r="278" spans="36:36" x14ac:dyDescent="0.35">
      <c r="AJ278"/>
    </row>
    <row r="279" spans="36:36" x14ac:dyDescent="0.35">
      <c r="AJ279"/>
    </row>
    <row r="280" spans="36:36" x14ac:dyDescent="0.35">
      <c r="AJ280"/>
    </row>
    <row r="281" spans="36:36" x14ac:dyDescent="0.35">
      <c r="AJ281"/>
    </row>
    <row r="282" spans="36:36" x14ac:dyDescent="0.35">
      <c r="AJ282"/>
    </row>
    <row r="283" spans="36:36" x14ac:dyDescent="0.35">
      <c r="AJ283"/>
    </row>
    <row r="284" spans="36:36" x14ac:dyDescent="0.35">
      <c r="AJ284"/>
    </row>
  </sheetData>
  <conditionalFormatting sqref="E5:E13">
    <cfRule type="colorScale" priority="6">
      <colorScale>
        <cfvo type="min"/>
        <cfvo type="max"/>
        <color rgb="FFFFEF9C"/>
        <color rgb="FF63BE7B"/>
      </colorScale>
    </cfRule>
  </conditionalFormatting>
  <conditionalFormatting sqref="E16:E32">
    <cfRule type="colorScale" priority="2">
      <colorScale>
        <cfvo type="min"/>
        <cfvo type="max"/>
        <color rgb="FFFFEF9C"/>
        <color rgb="FF63BE7B"/>
      </colorScale>
    </cfRule>
  </conditionalFormatting>
  <conditionalFormatting sqref="G5:G13">
    <cfRule type="colorScale" priority="5">
      <colorScale>
        <cfvo type="min"/>
        <cfvo type="max"/>
        <color rgb="FFFFEF9C"/>
        <color rgb="FF63BE7B"/>
      </colorScale>
    </cfRule>
  </conditionalFormatting>
  <conditionalFormatting sqref="P5:P13">
    <cfRule type="colorScale" priority="4">
      <colorScale>
        <cfvo type="min"/>
        <cfvo type="max"/>
        <color rgb="FFFFEF9C"/>
        <color rgb="FF63BE7B"/>
      </colorScale>
    </cfRule>
  </conditionalFormatting>
  <conditionalFormatting sqref="P16:P32">
    <cfRule type="colorScale" priority="1">
      <colorScale>
        <cfvo type="min"/>
        <cfvo type="max"/>
        <color rgb="FFFFEF9C"/>
        <color rgb="FF63BE7B"/>
      </colorScale>
    </cfRule>
  </conditionalFormatting>
  <conditionalFormatting sqref="R5:R13">
    <cfRule type="colorScale" priority="3">
      <colorScale>
        <cfvo type="min"/>
        <cfvo type="max"/>
        <color rgb="FFFFEF9C"/>
        <color rgb="FF63BE7B"/>
      </colorScale>
    </cfRule>
  </conditionalFormatting>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7CD5E5-972C-45AE-BCC2-0A47762EA8E6}">
  <sheetPr>
    <tabColor theme="7"/>
  </sheetPr>
  <dimension ref="A2:AK284"/>
  <sheetViews>
    <sheetView showGridLines="0" topLeftCell="L1" zoomScale="80" zoomScaleNormal="80" workbookViewId="0"/>
  </sheetViews>
  <sheetFormatPr defaultColWidth="8.81640625" defaultRowHeight="14.5" outlineLevelCol="1" x14ac:dyDescent="0.35"/>
  <cols>
    <col min="1" max="1" width="8.54296875" style="2" hidden="1" customWidth="1" outlineLevel="1"/>
    <col min="2" max="2" width="46.81640625" style="2" hidden="1" customWidth="1" outlineLevel="1"/>
    <col min="3" max="8" width="11.54296875" style="2" hidden="1" customWidth="1" outlineLevel="1"/>
    <col min="9" max="11" width="9.1796875" style="2" hidden="1" customWidth="1" outlineLevel="1"/>
    <col min="12" max="12" width="8.54296875" style="2" customWidth="1" collapsed="1"/>
    <col min="13" max="13" width="53.453125" style="2" customWidth="1"/>
    <col min="14" max="19" width="11.54296875" style="2" customWidth="1"/>
    <col min="20" max="33" width="8.81640625" style="2"/>
    <col min="34" max="34" width="17.54296875" style="2" customWidth="1"/>
    <col min="35" max="16384" width="8.81640625" style="2"/>
  </cols>
  <sheetData>
    <row r="2" spans="2:37" ht="26" x14ac:dyDescent="0.6">
      <c r="M2" s="11" t="s">
        <v>629</v>
      </c>
    </row>
    <row r="4" spans="2:37" ht="36.65" customHeight="1" x14ac:dyDescent="0.35">
      <c r="B4" s="4" t="s">
        <v>15</v>
      </c>
      <c r="C4" s="50" t="s">
        <v>555</v>
      </c>
      <c r="D4" s="50" t="s">
        <v>556</v>
      </c>
      <c r="E4" s="50" t="s">
        <v>557</v>
      </c>
      <c r="F4" s="50" t="s">
        <v>558</v>
      </c>
      <c r="G4" s="50" t="s">
        <v>559</v>
      </c>
      <c r="H4" s="50" t="s">
        <v>560</v>
      </c>
      <c r="M4" s="4" t="s">
        <v>15</v>
      </c>
      <c r="N4" s="50" t="s">
        <v>555</v>
      </c>
      <c r="O4" s="50" t="s">
        <v>556</v>
      </c>
      <c r="P4" s="50" t="s">
        <v>557</v>
      </c>
      <c r="Q4" s="50" t="s">
        <v>558</v>
      </c>
      <c r="R4" s="50" t="s">
        <v>559</v>
      </c>
      <c r="S4" s="50" t="s">
        <v>560</v>
      </c>
    </row>
    <row r="5" spans="2:37" x14ac:dyDescent="0.35">
      <c r="B5" s="5" t="s">
        <v>67</v>
      </c>
      <c r="C5" s="6" cm="1">
        <f t="array" ref="C5">SUM(SUMIFS(flu_group[flhcw],flu_group[staff_group],$B5,flu_group[season],"2025-2026",flu_group[trust_type],{"Acute &amp; Community","Community","Mental Health","Mental Health &amp; Community"}))</f>
        <v>7310</v>
      </c>
      <c r="D5" s="6" cm="1">
        <f t="array" ref="D5">SUM(SUMIFS(flu_group[vve],flu_group[staff_group],$B5,flu_group[season],"2025-2026",flu_group[trust_type],{"Acute &amp; Community","Community","Mental Health","Mental Health &amp; Community"}))</f>
        <v>2900</v>
      </c>
      <c r="E5" s="7">
        <f>D5/C5</f>
        <v>0.3967168262653899</v>
      </c>
      <c r="F5" s="6">
        <f>C5-D5</f>
        <v>4410</v>
      </c>
      <c r="G5" s="7">
        <f>SUMIFS(flu_group[vve],flu_group[staff_group],$B5,flu_group[season],"2024-2025")/SUMIFS(flu_group[flhcw],flu_group[staff_group],$B5,flu_group[season],"2024-2025")</f>
        <v>0.3320970254432164</v>
      </c>
      <c r="H5" s="7">
        <f>E5-G5</f>
        <v>6.4619800822173501E-2</v>
      </c>
      <c r="I5" s="2">
        <f>_xlfn.RANK.EQ(E5,$E$5:$E$13,0)</f>
        <v>4</v>
      </c>
      <c r="K5" s="2">
        <v>1</v>
      </c>
      <c r="M5" s="5" t="str">
        <f t="shared" ref="M5:S13" si="0">INDEX(B$5:B$13,MATCH($K5,$I$5:$I$13,0))</f>
        <v>Medical and Dental</v>
      </c>
      <c r="N5" s="6">
        <f t="shared" si="0"/>
        <v>5527</v>
      </c>
      <c r="O5" s="6">
        <f t="shared" si="0"/>
        <v>2789</v>
      </c>
      <c r="P5" s="7">
        <f t="shared" si="0"/>
        <v>0.50461371449249137</v>
      </c>
      <c r="Q5" s="6">
        <f t="shared" si="0"/>
        <v>2738</v>
      </c>
      <c r="R5" s="7">
        <f t="shared" si="0"/>
        <v>0.42529121326877906</v>
      </c>
      <c r="S5" s="7">
        <f t="shared" si="0"/>
        <v>7.9322501223712316E-2</v>
      </c>
      <c r="AI5" s="23"/>
      <c r="AJ5" s="23"/>
      <c r="AK5" s="24"/>
    </row>
    <row r="6" spans="2:37" x14ac:dyDescent="0.35">
      <c r="B6" s="5" t="s">
        <v>81</v>
      </c>
      <c r="C6" s="6" cm="1">
        <f t="array" ref="C6">SUM(SUMIFS(flu_group[flhcw],flu_group[staff_group],$B6,flu_group[season],"2025-2026",flu_group[trust_type],{"Acute &amp; Community","Community","Mental Health","Mental Health &amp; Community"}))</f>
        <v>14612</v>
      </c>
      <c r="D6" s="6" cm="1">
        <f t="array" ref="D6">SUM(SUMIFS(flu_group[vve],flu_group[staff_group],$B6,flu_group[season],"2025-2026",flu_group[trust_type],{"Acute &amp; Community","Community","Mental Health","Mental Health &amp; Community"}))</f>
        <v>4058</v>
      </c>
      <c r="E6" s="7">
        <f t="shared" ref="E6:E13" si="1">D6/C6</f>
        <v>0.27771694497673144</v>
      </c>
      <c r="F6" s="6">
        <f t="shared" ref="F6:F13" si="2">C6-D6</f>
        <v>10554</v>
      </c>
      <c r="G6" s="7">
        <f>SUMIFS(flu_group[vve],flu_group[staff_group],$B6,flu_group[season],"2024-2025")/SUMIFS(flu_group[flhcw],flu_group[staff_group],$B6,flu_group[season],"2024-2025")</f>
        <v>0.25437110769471299</v>
      </c>
      <c r="H6" s="7">
        <f t="shared" ref="H6:H13" si="3">E6-G6</f>
        <v>2.3345837282018445E-2</v>
      </c>
      <c r="I6" s="2">
        <f t="shared" ref="I6:I13" si="4">_xlfn.RANK.EQ(E6,$E$5:$E$13,0)</f>
        <v>9</v>
      </c>
      <c r="K6" s="2">
        <v>2</v>
      </c>
      <c r="M6" s="5" t="str">
        <f t="shared" si="0"/>
        <v>Healthcare Scientists</v>
      </c>
      <c r="N6" s="6">
        <f t="shared" si="0"/>
        <v>188</v>
      </c>
      <c r="O6" s="6">
        <f t="shared" si="0"/>
        <v>81</v>
      </c>
      <c r="P6" s="7">
        <f t="shared" si="0"/>
        <v>0.43085106382978722</v>
      </c>
      <c r="Q6" s="6">
        <f t="shared" si="0"/>
        <v>107</v>
      </c>
      <c r="R6" s="7">
        <f t="shared" si="0"/>
        <v>0.36815345504968799</v>
      </c>
      <c r="S6" s="7">
        <f t="shared" si="0"/>
        <v>6.2697608780099223E-2</v>
      </c>
      <c r="AI6" s="23"/>
      <c r="AJ6" s="23"/>
      <c r="AK6" s="24"/>
    </row>
    <row r="7" spans="2:37" x14ac:dyDescent="0.35">
      <c r="B7" s="5" t="s">
        <v>46</v>
      </c>
      <c r="C7" s="6" cm="1">
        <f t="array" ref="C7">SUM(SUMIFS(flu_group[flhcw],flu_group[staff_group],$B7,flu_group[season],"2025-2026",flu_group[trust_type],{"Acute &amp; Community","Community","Mental Health","Mental Health &amp; Community"}))</f>
        <v>999</v>
      </c>
      <c r="D7" s="6" cm="1">
        <f t="array" ref="D7">SUM(SUMIFS(flu_group[vve],flu_group[staff_group],$B7,flu_group[season],"2025-2026",flu_group[trust_type],{"Acute &amp; Community","Community","Mental Health","Mental Health &amp; Community"}))</f>
        <v>389</v>
      </c>
      <c r="E7" s="7">
        <f t="shared" si="1"/>
        <v>0.38938938938938938</v>
      </c>
      <c r="F7" s="6">
        <f t="shared" si="2"/>
        <v>610</v>
      </c>
      <c r="G7" s="7">
        <f>SUMIFS(flu_group[vve],flu_group[staff_group],$B7,flu_group[season],"2024-2025")/SUMIFS(flu_group[flhcw],flu_group[staff_group],$B7,flu_group[season],"2024-2025")</f>
        <v>0.2689693183905934</v>
      </c>
      <c r="H7" s="7">
        <f t="shared" si="3"/>
        <v>0.12042007099879598</v>
      </c>
      <c r="I7" s="2">
        <f t="shared" si="4"/>
        <v>5</v>
      </c>
      <c r="K7" s="2">
        <v>3</v>
      </c>
      <c r="M7" s="5" t="str">
        <f t="shared" si="0"/>
        <v>Allied Health Professionals</v>
      </c>
      <c r="N7" s="6">
        <f t="shared" si="0"/>
        <v>5479</v>
      </c>
      <c r="O7" s="6">
        <f t="shared" si="0"/>
        <v>2317</v>
      </c>
      <c r="P7" s="7">
        <f t="shared" si="0"/>
        <v>0.42288738820952726</v>
      </c>
      <c r="Q7" s="6">
        <f t="shared" si="0"/>
        <v>3162</v>
      </c>
      <c r="R7" s="7">
        <f t="shared" si="0"/>
        <v>0.36993943257889705</v>
      </c>
      <c r="S7" s="7">
        <f t="shared" si="0"/>
        <v>5.2947955630630206E-2</v>
      </c>
      <c r="AI7" s="23"/>
      <c r="AJ7" s="23"/>
      <c r="AK7" s="24"/>
    </row>
    <row r="8" spans="2:37" x14ac:dyDescent="0.35">
      <c r="B8" s="5" t="s">
        <v>60</v>
      </c>
      <c r="C8" s="6" cm="1">
        <f t="array" ref="C8">SUM(SUMIFS(flu_group[flhcw],flu_group[staff_group],$B8,flu_group[season],"2025-2026",flu_group[trust_type],{"Acute &amp; Community","Community","Mental Health","Mental Health &amp; Community"}))</f>
        <v>5479</v>
      </c>
      <c r="D8" s="6" cm="1">
        <f t="array" ref="D8">SUM(SUMIFS(flu_group[vve],flu_group[staff_group],$B8,flu_group[season],"2025-2026",flu_group[trust_type],{"Acute &amp; Community","Community","Mental Health","Mental Health &amp; Community"}))</f>
        <v>2317</v>
      </c>
      <c r="E8" s="7">
        <f t="shared" si="1"/>
        <v>0.42288738820952726</v>
      </c>
      <c r="F8" s="6">
        <f t="shared" si="2"/>
        <v>3162</v>
      </c>
      <c r="G8" s="7">
        <f>SUMIFS(flu_group[vve],flu_group[staff_group],$B8,flu_group[season],"2024-2025")/SUMIFS(flu_group[flhcw],flu_group[staff_group],$B8,flu_group[season],"2024-2025")</f>
        <v>0.36993943257889705</v>
      </c>
      <c r="H8" s="7">
        <f t="shared" si="3"/>
        <v>5.2947955630630206E-2</v>
      </c>
      <c r="I8" s="2">
        <f t="shared" si="4"/>
        <v>3</v>
      </c>
      <c r="K8" s="2">
        <v>4</v>
      </c>
      <c r="M8" s="5" t="str">
        <f t="shared" si="0"/>
        <v>Add Prof Scientific and Technic</v>
      </c>
      <c r="N8" s="6">
        <f t="shared" si="0"/>
        <v>7310</v>
      </c>
      <c r="O8" s="6">
        <f t="shared" si="0"/>
        <v>2900</v>
      </c>
      <c r="P8" s="7">
        <f t="shared" si="0"/>
        <v>0.3967168262653899</v>
      </c>
      <c r="Q8" s="6">
        <f t="shared" si="0"/>
        <v>4410</v>
      </c>
      <c r="R8" s="7">
        <f t="shared" si="0"/>
        <v>0.3320970254432164</v>
      </c>
      <c r="S8" s="7">
        <f t="shared" si="0"/>
        <v>6.4619800822173501E-2</v>
      </c>
      <c r="AI8" s="23"/>
      <c r="AJ8" s="23"/>
      <c r="AK8" s="24"/>
    </row>
    <row r="9" spans="2:37" x14ac:dyDescent="0.35">
      <c r="B9" s="5" t="s">
        <v>28</v>
      </c>
      <c r="C9" s="6" cm="1">
        <f t="array" ref="C9">SUM(SUMIFS(flu_group[flhcw],flu_group[staff_group],$B9,flu_group[season],"2025-2026",flu_group[trust_type],{"Acute &amp; Community","Community","Mental Health","Mental Health &amp; Community"}))</f>
        <v>704</v>
      </c>
      <c r="D9" s="6" cm="1">
        <f t="array" ref="D9">SUM(SUMIFS(flu_group[vve],flu_group[staff_group],$B9,flu_group[season],"2025-2026",flu_group[trust_type],{"Acute &amp; Community","Community","Mental Health","Mental Health &amp; Community"}))</f>
        <v>237</v>
      </c>
      <c r="E9" s="7">
        <f t="shared" si="1"/>
        <v>0.33664772727272729</v>
      </c>
      <c r="F9" s="6">
        <f t="shared" si="2"/>
        <v>467</v>
      </c>
      <c r="G9" s="7">
        <f>SUMIFS(flu_group[vve],flu_group[staff_group],$B9,flu_group[season],"2024-2025")/SUMIFS(flu_group[flhcw],flu_group[staff_group],$B9,flu_group[season],"2024-2025")</f>
        <v>0.25817675713291582</v>
      </c>
      <c r="H9" s="7">
        <f t="shared" si="3"/>
        <v>7.8470970139811469E-2</v>
      </c>
      <c r="I9" s="2">
        <f t="shared" si="4"/>
        <v>7</v>
      </c>
      <c r="K9" s="2">
        <v>5</v>
      </c>
      <c r="M9" s="5" t="str">
        <f t="shared" si="0"/>
        <v>Administrative and Clerical</v>
      </c>
      <c r="N9" s="6">
        <f t="shared" si="0"/>
        <v>999</v>
      </c>
      <c r="O9" s="6">
        <f t="shared" si="0"/>
        <v>389</v>
      </c>
      <c r="P9" s="7">
        <f t="shared" si="0"/>
        <v>0.38938938938938938</v>
      </c>
      <c r="Q9" s="6">
        <f t="shared" si="0"/>
        <v>610</v>
      </c>
      <c r="R9" s="7">
        <f t="shared" si="0"/>
        <v>0.2689693183905934</v>
      </c>
      <c r="S9" s="7">
        <f t="shared" si="0"/>
        <v>0.12042007099879598</v>
      </c>
      <c r="AI9" s="23"/>
      <c r="AJ9" s="23"/>
      <c r="AK9" s="24"/>
    </row>
    <row r="10" spans="2:37" x14ac:dyDescent="0.35">
      <c r="B10" s="5" t="s">
        <v>74</v>
      </c>
      <c r="C10" s="6" cm="1">
        <f t="array" ref="C10">SUM(SUMIFS(flu_group[flhcw],flu_group[staff_group],$B10,flu_group[season],"2025-2026",flu_group[trust_type],{"Acute &amp; Community","Community","Mental Health","Mental Health &amp; Community"}))</f>
        <v>188</v>
      </c>
      <c r="D10" s="6" cm="1">
        <f t="array" ref="D10">SUM(SUMIFS(flu_group[vve],flu_group[staff_group],$B10,flu_group[season],"2025-2026",flu_group[trust_type],{"Acute &amp; Community","Community","Mental Health","Mental Health &amp; Community"}))</f>
        <v>81</v>
      </c>
      <c r="E10" s="7">
        <f t="shared" si="1"/>
        <v>0.43085106382978722</v>
      </c>
      <c r="F10" s="6">
        <f t="shared" si="2"/>
        <v>107</v>
      </c>
      <c r="G10" s="7">
        <f>SUMIFS(flu_group[vve],flu_group[staff_group],$B10,flu_group[season],"2024-2025")/SUMIFS(flu_group[flhcw],flu_group[staff_group],$B10,flu_group[season],"2024-2025")</f>
        <v>0.36815345504968799</v>
      </c>
      <c r="H10" s="7">
        <f t="shared" si="3"/>
        <v>6.2697608780099223E-2</v>
      </c>
      <c r="I10" s="2">
        <f t="shared" si="4"/>
        <v>2</v>
      </c>
      <c r="K10" s="2">
        <v>6</v>
      </c>
      <c r="M10" s="5" t="str">
        <f t="shared" si="0"/>
        <v>Nursing and Midwifery Registered</v>
      </c>
      <c r="N10" s="6">
        <f t="shared" si="0"/>
        <v>17645</v>
      </c>
      <c r="O10" s="6">
        <f t="shared" si="0"/>
        <v>6263</v>
      </c>
      <c r="P10" s="7">
        <f t="shared" si="0"/>
        <v>0.35494474355341454</v>
      </c>
      <c r="Q10" s="6">
        <f t="shared" si="0"/>
        <v>11382</v>
      </c>
      <c r="R10" s="7">
        <f t="shared" si="0"/>
        <v>0.32728520240908743</v>
      </c>
      <c r="S10" s="7">
        <f t="shared" si="0"/>
        <v>2.7659541144327116E-2</v>
      </c>
      <c r="AI10" s="23"/>
      <c r="AJ10" s="23"/>
      <c r="AK10" s="24"/>
    </row>
    <row r="11" spans="2:37" x14ac:dyDescent="0.35">
      <c r="B11" s="5" t="s">
        <v>42</v>
      </c>
      <c r="C11" s="6" cm="1">
        <f t="array" ref="C11">SUM(SUMIFS(flu_group[flhcw],flu_group[staff_group],$B11,flu_group[season],"2025-2026",flu_group[trust_type],{"Acute &amp; Community","Community","Mental Health","Mental Health &amp; Community"}))</f>
        <v>5527</v>
      </c>
      <c r="D11" s="6" cm="1">
        <f t="array" ref="D11">SUM(SUMIFS(flu_group[vve],flu_group[staff_group],$B11,flu_group[season],"2025-2026",flu_group[trust_type],{"Acute &amp; Community","Community","Mental Health","Mental Health &amp; Community"}))</f>
        <v>2789</v>
      </c>
      <c r="E11" s="7">
        <f t="shared" si="1"/>
        <v>0.50461371449249137</v>
      </c>
      <c r="F11" s="6">
        <f t="shared" si="2"/>
        <v>2738</v>
      </c>
      <c r="G11" s="7">
        <f>SUMIFS(flu_group[vve],flu_group[staff_group],$B11,flu_group[season],"2024-2025")/SUMIFS(flu_group[flhcw],flu_group[staff_group],$B11,flu_group[season],"2024-2025")</f>
        <v>0.42529121326877906</v>
      </c>
      <c r="H11" s="7">
        <f t="shared" si="3"/>
        <v>7.9322501223712316E-2</v>
      </c>
      <c r="I11" s="2">
        <f t="shared" si="4"/>
        <v>1</v>
      </c>
      <c r="K11" s="2">
        <v>7</v>
      </c>
      <c r="M11" s="5" t="str">
        <f t="shared" si="0"/>
        <v>Estates and Ancillary</v>
      </c>
      <c r="N11" s="6">
        <f t="shared" si="0"/>
        <v>704</v>
      </c>
      <c r="O11" s="6">
        <f t="shared" si="0"/>
        <v>237</v>
      </c>
      <c r="P11" s="7">
        <f t="shared" si="0"/>
        <v>0.33664772727272729</v>
      </c>
      <c r="Q11" s="6">
        <f t="shared" si="0"/>
        <v>467</v>
      </c>
      <c r="R11" s="7">
        <f t="shared" si="0"/>
        <v>0.25817675713291582</v>
      </c>
      <c r="S11" s="7">
        <f t="shared" si="0"/>
        <v>7.8470970139811469E-2</v>
      </c>
      <c r="AI11" s="23"/>
      <c r="AJ11" s="23"/>
      <c r="AK11" s="24"/>
    </row>
    <row r="12" spans="2:37" x14ac:dyDescent="0.35">
      <c r="B12" s="5" t="s">
        <v>53</v>
      </c>
      <c r="C12" s="6" cm="1">
        <f t="array" ref="C12">SUM(SUMIFS(flu_group[flhcw],flu_group[staff_group],$B12,flu_group[season],"2025-2026",flu_group[trust_type],{"Acute &amp; Community","Community","Mental Health","Mental Health &amp; Community"}))</f>
        <v>17645</v>
      </c>
      <c r="D12" s="6" cm="1">
        <f t="array" ref="D12">SUM(SUMIFS(flu_group[vve],flu_group[staff_group],$B12,flu_group[season],"2025-2026",flu_group[trust_type],{"Acute &amp; Community","Community","Mental Health","Mental Health &amp; Community"}))</f>
        <v>6263</v>
      </c>
      <c r="E12" s="7">
        <f t="shared" si="1"/>
        <v>0.35494474355341454</v>
      </c>
      <c r="F12" s="6">
        <f t="shared" si="2"/>
        <v>11382</v>
      </c>
      <c r="G12" s="7">
        <f>SUMIFS(flu_group[vve],flu_group[staff_group],$B12,flu_group[season],"2024-2025")/SUMIFS(flu_group[flhcw],flu_group[staff_group],$B12,flu_group[season],"2024-2025")</f>
        <v>0.32728520240908743</v>
      </c>
      <c r="H12" s="7">
        <f t="shared" si="3"/>
        <v>2.7659541144327116E-2</v>
      </c>
      <c r="I12" s="2">
        <f t="shared" si="4"/>
        <v>6</v>
      </c>
      <c r="K12" s="2">
        <v>8</v>
      </c>
      <c r="M12" s="5" t="str">
        <f t="shared" si="0"/>
        <v>Students</v>
      </c>
      <c r="N12" s="6">
        <f t="shared" si="0"/>
        <v>297</v>
      </c>
      <c r="O12" s="6">
        <f t="shared" si="0"/>
        <v>89</v>
      </c>
      <c r="P12" s="7">
        <f t="shared" si="0"/>
        <v>0.29966329966329969</v>
      </c>
      <c r="Q12" s="6">
        <f t="shared" si="0"/>
        <v>208</v>
      </c>
      <c r="R12" s="7">
        <f t="shared" si="0"/>
        <v>0.20279720279720279</v>
      </c>
      <c r="S12" s="7">
        <f t="shared" si="0"/>
        <v>9.6866096866096901E-2</v>
      </c>
      <c r="AI12" s="23"/>
      <c r="AJ12" s="23"/>
      <c r="AK12" s="24"/>
    </row>
    <row r="13" spans="2:37" x14ac:dyDescent="0.35">
      <c r="B13" s="5" t="s">
        <v>35</v>
      </c>
      <c r="C13" s="6" cm="1">
        <f t="array" ref="C13">SUM(SUMIFS(flu_group[flhcw],flu_group[staff_group],$B13,flu_group[season],"2025-2026",flu_group[trust_type],{"Acute &amp; Community","Community","Mental Health","Mental Health &amp; Community"}))</f>
        <v>297</v>
      </c>
      <c r="D13" s="6" cm="1">
        <f t="array" ref="D13">SUM(SUMIFS(flu_group[vve],flu_group[staff_group],$B13,flu_group[season],"2025-2026",flu_group[trust_type],{"Acute &amp; Community","Community","Mental Health","Mental Health &amp; Community"}))</f>
        <v>89</v>
      </c>
      <c r="E13" s="7">
        <f t="shared" si="1"/>
        <v>0.29966329966329969</v>
      </c>
      <c r="F13" s="6">
        <f t="shared" si="2"/>
        <v>208</v>
      </c>
      <c r="G13" s="7">
        <f>SUMIFS(flu_group[vve],flu_group[staff_group],$B13,flu_group[season],"2024-2025")/SUMIFS(flu_group[flhcw],flu_group[staff_group],$B13,flu_group[season],"2024-2025")</f>
        <v>0.20279720279720279</v>
      </c>
      <c r="H13" s="7">
        <f t="shared" si="3"/>
        <v>9.6866096866096901E-2</v>
      </c>
      <c r="I13" s="2">
        <f t="shared" si="4"/>
        <v>8</v>
      </c>
      <c r="K13" s="2">
        <v>9</v>
      </c>
      <c r="M13" s="5" t="str">
        <f t="shared" si="0"/>
        <v>Additional Clinical Services</v>
      </c>
      <c r="N13" s="6">
        <f t="shared" si="0"/>
        <v>14612</v>
      </c>
      <c r="O13" s="6">
        <f t="shared" si="0"/>
        <v>4058</v>
      </c>
      <c r="P13" s="7">
        <f t="shared" si="0"/>
        <v>0.27771694497673144</v>
      </c>
      <c r="Q13" s="6">
        <f t="shared" si="0"/>
        <v>10554</v>
      </c>
      <c r="R13" s="7">
        <f t="shared" si="0"/>
        <v>0.25437110769471299</v>
      </c>
      <c r="S13" s="7">
        <f t="shared" si="0"/>
        <v>2.3345837282018445E-2</v>
      </c>
      <c r="AI13" s="23"/>
      <c r="AJ13" s="23"/>
      <c r="AK13" s="24"/>
    </row>
    <row r="14" spans="2:37" x14ac:dyDescent="0.35">
      <c r="AJ14"/>
    </row>
    <row r="15" spans="2:37" ht="36.65" customHeight="1" x14ac:dyDescent="0.35">
      <c r="B15" s="4" t="s">
        <v>15</v>
      </c>
      <c r="C15" s="50" t="s">
        <v>606</v>
      </c>
      <c r="D15" s="50" t="s">
        <v>540</v>
      </c>
      <c r="E15" s="50" t="s">
        <v>541</v>
      </c>
      <c r="M15" s="4" t="s">
        <v>17</v>
      </c>
      <c r="N15" s="50" t="s">
        <v>606</v>
      </c>
      <c r="O15" s="50" t="s">
        <v>540</v>
      </c>
      <c r="P15" s="50" t="s">
        <v>541</v>
      </c>
      <c r="AD15"/>
    </row>
    <row r="16" spans="2:37" x14ac:dyDescent="0.35">
      <c r="B16" s="5" t="s">
        <v>68</v>
      </c>
      <c r="C16" s="6" cm="1">
        <f t="array" ref="C16">SUM(SUMIFS(flu_eth_ep[fl_staff],flu_eth_ep[Ethnicity],$B16,flu_eth_ep[trust_type],{"Acute &amp; Community","Community","Mental Health","Mental Health &amp; Community"}))</f>
        <v>15496</v>
      </c>
      <c r="D16" s="6" cm="1">
        <f t="array" ref="D16">SUM(SUMIFS(flu_eth_ep[fl_doses],flu_eth_ep[Ethnicity],$B16,flu_eth_ep[trust_type],{"Acute &amp; Community","Community","Mental Health","Mental Health &amp; Community"}))</f>
        <v>7534</v>
      </c>
      <c r="E16" s="7">
        <f>D16/C16</f>
        <v>0.48618998451213219</v>
      </c>
      <c r="I16" s="2">
        <f>_xlfn.RANK.EQ(E16,$E$16:$E$32,0)</f>
        <v>3</v>
      </c>
      <c r="K16" s="2">
        <v>1</v>
      </c>
      <c r="M16" s="5" t="str">
        <f>INDEX(B$16:B$32,MATCH($K16,$I$16:$I$32,0))</f>
        <v>R: Other ethnic groups - Chinese</v>
      </c>
      <c r="N16" s="6">
        <f>INDEX(C$16:C$32,MATCH($K16,$I$16:$I$32,0))</f>
        <v>471</v>
      </c>
      <c r="O16" s="6">
        <f>INDEX(D$16:D$32,MATCH($K16,$I$16:$I$32,0))</f>
        <v>238</v>
      </c>
      <c r="P16" s="7">
        <f>INDEX(E$16:E$32,MATCH($K16,$I$16:$I$32,0))</f>
        <v>0.50530785562632696</v>
      </c>
      <c r="AD16"/>
    </row>
    <row r="17" spans="2:30" x14ac:dyDescent="0.35">
      <c r="B17" s="5" t="s">
        <v>135</v>
      </c>
      <c r="C17" s="6" cm="1">
        <f t="array" ref="C17">SUM(SUMIFS(flu_eth_ep[fl_staff],flu_eth_ep[Ethnicity],$B17,flu_eth_ep[trust_type],{"Acute &amp; Community","Community","Mental Health","Mental Health &amp; Community"}))</f>
        <v>728</v>
      </c>
      <c r="D17" s="6" cm="1">
        <f t="array" ref="D17">SUM(SUMIFS(flu_eth_ep[fl_doses],flu_eth_ep[Ethnicity],$B17,flu_eth_ep[trust_type],{"Acute &amp; Community","Community","Mental Health","Mental Health &amp; Community"}))</f>
        <v>356</v>
      </c>
      <c r="E17" s="7">
        <f t="shared" ref="E17:E32" si="5">D17/C17</f>
        <v>0.48901098901098899</v>
      </c>
      <c r="I17" s="2">
        <f t="shared" ref="I17:I32" si="6">_xlfn.RANK.EQ(E17,$E$16:$E$32,0)</f>
        <v>2</v>
      </c>
      <c r="K17" s="2">
        <v>2</v>
      </c>
      <c r="M17" s="5" t="str">
        <f t="shared" ref="M17:P32" si="7">INDEX(B$16:B$32,MATCH($K17,$I$16:$I$32,0))</f>
        <v>B: White - Irish</v>
      </c>
      <c r="N17" s="6">
        <f t="shared" si="7"/>
        <v>728</v>
      </c>
      <c r="O17" s="6">
        <f t="shared" si="7"/>
        <v>356</v>
      </c>
      <c r="P17" s="7">
        <f t="shared" si="7"/>
        <v>0.48901098901098899</v>
      </c>
      <c r="AD17"/>
    </row>
    <row r="18" spans="2:30" x14ac:dyDescent="0.35">
      <c r="B18" s="5" t="s">
        <v>607</v>
      </c>
      <c r="C18" s="6" cm="1">
        <f t="array" ref="C18">SUM(SUMIFS(flu_eth_ep[fl_staff],flu_eth_ep[Ethnicity],$B18,flu_eth_ep[trust_type],{"Acute &amp; Community","Community","Mental Health","Mental Health &amp; Community"}))</f>
        <v>4781</v>
      </c>
      <c r="D18" s="6" cm="1">
        <f t="array" ref="D18">SUM(SUMIFS(flu_eth_ep[fl_doses],flu_eth_ep[Ethnicity],$B18,flu_eth_ep[trust_type],{"Acute &amp; Community","Community","Mental Health","Mental Health &amp; Community"}))</f>
        <v>1776</v>
      </c>
      <c r="E18" s="7">
        <f t="shared" si="5"/>
        <v>0.37147040368123824</v>
      </c>
      <c r="I18" s="2">
        <f t="shared" si="6"/>
        <v>7</v>
      </c>
      <c r="K18" s="2">
        <v>3</v>
      </c>
      <c r="M18" s="5" t="str">
        <f t="shared" si="7"/>
        <v>A: White - British</v>
      </c>
      <c r="N18" s="6">
        <f t="shared" si="7"/>
        <v>15496</v>
      </c>
      <c r="O18" s="6">
        <f t="shared" si="7"/>
        <v>7534</v>
      </c>
      <c r="P18" s="7">
        <f t="shared" si="7"/>
        <v>0.48618998451213219</v>
      </c>
      <c r="AD18"/>
    </row>
    <row r="19" spans="2:30" x14ac:dyDescent="0.35">
      <c r="B19" s="5" t="s">
        <v>129</v>
      </c>
      <c r="C19" s="6" cm="1">
        <f t="array" ref="C19">SUM(SUMIFS(flu_eth_ep[fl_staff],flu_eth_ep[Ethnicity],$B19,flu_eth_ep[trust_type],{"Acute &amp; Community","Community","Mental Health","Mental Health &amp; Community"}))</f>
        <v>436</v>
      </c>
      <c r="D19" s="6" cm="1">
        <f t="array" ref="D19">SUM(SUMIFS(flu_eth_ep[fl_doses],flu_eth_ep[Ethnicity],$B19,flu_eth_ep[trust_type],{"Acute &amp; Community","Community","Mental Health","Mental Health &amp; Community"}))</f>
        <v>103</v>
      </c>
      <c r="E19" s="7">
        <f t="shared" si="5"/>
        <v>0.23623853211009174</v>
      </c>
      <c r="I19" s="2">
        <f t="shared" si="6"/>
        <v>13</v>
      </c>
      <c r="K19" s="2">
        <v>4</v>
      </c>
      <c r="M19" s="5" t="str">
        <f t="shared" si="7"/>
        <v>F: Mixed - White and Asian</v>
      </c>
      <c r="N19" s="6">
        <f t="shared" si="7"/>
        <v>297</v>
      </c>
      <c r="O19" s="6">
        <f t="shared" si="7"/>
        <v>135</v>
      </c>
      <c r="P19" s="7">
        <f t="shared" si="7"/>
        <v>0.45454545454545453</v>
      </c>
      <c r="AD19"/>
    </row>
    <row r="20" spans="2:30" x14ac:dyDescent="0.35">
      <c r="B20" s="5" t="s">
        <v>47</v>
      </c>
      <c r="C20" s="6" cm="1">
        <f t="array" ref="C20">SUM(SUMIFS(flu_eth_ep[fl_staff],flu_eth_ep[Ethnicity],$B20,flu_eth_ep[trust_type],{"Acute &amp; Community","Community","Mental Health","Mental Health &amp; Community"}))</f>
        <v>806</v>
      </c>
      <c r="D20" s="6" cm="1">
        <f t="array" ref="D20">SUM(SUMIFS(flu_eth_ep[fl_doses],flu_eth_ep[Ethnicity],$B20,flu_eth_ep[trust_type],{"Acute &amp; Community","Community","Mental Health","Mental Health &amp; Community"}))</f>
        <v>190</v>
      </c>
      <c r="E20" s="7">
        <f t="shared" si="5"/>
        <v>0.23573200992555832</v>
      </c>
      <c r="I20" s="2">
        <f t="shared" si="6"/>
        <v>14</v>
      </c>
      <c r="K20" s="2">
        <v>5</v>
      </c>
      <c r="M20" s="5" t="str">
        <f t="shared" si="7"/>
        <v>L: Asian or Asian British - Any other Asian background</v>
      </c>
      <c r="N20" s="6">
        <f t="shared" si="7"/>
        <v>3114</v>
      </c>
      <c r="O20" s="6">
        <f t="shared" si="7"/>
        <v>1190</v>
      </c>
      <c r="P20" s="7">
        <f t="shared" si="7"/>
        <v>0.3821451509312781</v>
      </c>
      <c r="AD20"/>
    </row>
    <row r="21" spans="2:30" x14ac:dyDescent="0.35">
      <c r="B21" s="5" t="s">
        <v>94</v>
      </c>
      <c r="C21" s="6" cm="1">
        <f t="array" ref="C21">SUM(SUMIFS(flu_eth_ep[fl_staff],flu_eth_ep[Ethnicity],$B21,flu_eth_ep[trust_type],{"Acute &amp; Community","Community","Mental Health","Mental Health &amp; Community"}))</f>
        <v>297</v>
      </c>
      <c r="D21" s="6" cm="1">
        <f t="array" ref="D21">SUM(SUMIFS(flu_eth_ep[fl_doses],flu_eth_ep[Ethnicity],$B21,flu_eth_ep[trust_type],{"Acute &amp; Community","Community","Mental Health","Mental Health &amp; Community"}))</f>
        <v>135</v>
      </c>
      <c r="E21" s="7">
        <f t="shared" si="5"/>
        <v>0.45454545454545453</v>
      </c>
      <c r="I21" s="2">
        <f t="shared" si="6"/>
        <v>4</v>
      </c>
      <c r="K21" s="2">
        <v>6</v>
      </c>
      <c r="M21" s="5" t="str">
        <f t="shared" si="7"/>
        <v>H: Asian or Asian British - Indian</v>
      </c>
      <c r="N21" s="6">
        <f t="shared" si="7"/>
        <v>3519</v>
      </c>
      <c r="O21" s="6">
        <f t="shared" si="7"/>
        <v>1324</v>
      </c>
      <c r="P21" s="7">
        <f t="shared" si="7"/>
        <v>0.37624325092355781</v>
      </c>
      <c r="AD21"/>
    </row>
    <row r="22" spans="2:30" x14ac:dyDescent="0.35">
      <c r="B22" s="5" t="s">
        <v>608</v>
      </c>
      <c r="C22" s="6" cm="1">
        <f t="array" ref="C22">SUM(SUMIFS(flu_eth_ep[fl_staff],flu_eth_ep[Ethnicity],$B22,flu_eth_ep[trust_type],{"Acute &amp; Community","Community","Mental Health","Mental Health &amp; Community"}))</f>
        <v>727</v>
      </c>
      <c r="D22" s="6" cm="1">
        <f t="array" ref="D22">SUM(SUMIFS(flu_eth_ep[fl_doses],flu_eth_ep[Ethnicity],$B22,flu_eth_ep[trust_type],{"Acute &amp; Community","Community","Mental Health","Mental Health &amp; Community"}))</f>
        <v>265</v>
      </c>
      <c r="E22" s="7">
        <f t="shared" si="5"/>
        <v>0.36451169188445665</v>
      </c>
      <c r="I22" s="2">
        <f t="shared" si="6"/>
        <v>8</v>
      </c>
      <c r="K22" s="2">
        <v>7</v>
      </c>
      <c r="M22" s="5" t="str">
        <f t="shared" si="7"/>
        <v>C: White - Any other White background</v>
      </c>
      <c r="N22" s="6">
        <f t="shared" si="7"/>
        <v>4781</v>
      </c>
      <c r="O22" s="6">
        <f t="shared" si="7"/>
        <v>1776</v>
      </c>
      <c r="P22" s="7">
        <f t="shared" si="7"/>
        <v>0.37147040368123824</v>
      </c>
      <c r="AD22"/>
    </row>
    <row r="23" spans="2:30" x14ac:dyDescent="0.35">
      <c r="B23" s="5" t="s">
        <v>123</v>
      </c>
      <c r="C23" s="6" cm="1">
        <f t="array" ref="C23">SUM(SUMIFS(flu_eth_ep[fl_staff],flu_eth_ep[Ethnicity],$B23,flu_eth_ep[trust_type],{"Acute &amp; Community","Community","Mental Health","Mental Health &amp; Community"}))</f>
        <v>3519</v>
      </c>
      <c r="D23" s="6" cm="1">
        <f t="array" ref="D23">SUM(SUMIFS(flu_eth_ep[fl_doses],flu_eth_ep[Ethnicity],$B23,flu_eth_ep[trust_type],{"Acute &amp; Community","Community","Mental Health","Mental Health &amp; Community"}))</f>
        <v>1324</v>
      </c>
      <c r="E23" s="7">
        <f t="shared" si="5"/>
        <v>0.37624325092355781</v>
      </c>
      <c r="I23" s="2">
        <f t="shared" si="6"/>
        <v>6</v>
      </c>
      <c r="K23" s="2">
        <v>8</v>
      </c>
      <c r="M23" s="5" t="str">
        <f t="shared" si="7"/>
        <v>G: Mixed - Any other Mixed background</v>
      </c>
      <c r="N23" s="6">
        <f t="shared" si="7"/>
        <v>727</v>
      </c>
      <c r="O23" s="6">
        <f t="shared" si="7"/>
        <v>265</v>
      </c>
      <c r="P23" s="7">
        <f t="shared" si="7"/>
        <v>0.36451169188445665</v>
      </c>
      <c r="AD23"/>
    </row>
    <row r="24" spans="2:30" x14ac:dyDescent="0.35">
      <c r="B24" s="5" t="s">
        <v>82</v>
      </c>
      <c r="C24" s="6" cm="1">
        <f t="array" ref="C24">SUM(SUMIFS(flu_eth_ep[fl_staff],flu_eth_ep[Ethnicity],$B24,flu_eth_ep[trust_type],{"Acute &amp; Community","Community","Mental Health","Mental Health &amp; Community"}))</f>
        <v>939</v>
      </c>
      <c r="D24" s="6" cm="1">
        <f t="array" ref="D24">SUM(SUMIFS(flu_eth_ep[fl_doses],flu_eth_ep[Ethnicity],$B24,flu_eth_ep[trust_type],{"Acute &amp; Community","Community","Mental Health","Mental Health &amp; Community"}))</f>
        <v>225</v>
      </c>
      <c r="E24" s="7">
        <f t="shared" si="5"/>
        <v>0.23961661341853036</v>
      </c>
      <c r="I24" s="2">
        <f t="shared" si="6"/>
        <v>12</v>
      </c>
      <c r="K24" s="2">
        <v>9</v>
      </c>
      <c r="M24" s="5" t="str">
        <f t="shared" si="7"/>
        <v>S: Other ethnic groups - Any other ethnic group</v>
      </c>
      <c r="N24" s="6">
        <f t="shared" si="7"/>
        <v>2447</v>
      </c>
      <c r="O24" s="6">
        <f t="shared" si="7"/>
        <v>842</v>
      </c>
      <c r="P24" s="7">
        <f t="shared" si="7"/>
        <v>0.34409480997139352</v>
      </c>
      <c r="AD24"/>
    </row>
    <row r="25" spans="2:30" x14ac:dyDescent="0.35">
      <c r="B25" s="5" t="s">
        <v>88</v>
      </c>
      <c r="C25" s="6" cm="1">
        <f t="array" ref="C25">SUM(SUMIFS(flu_eth_ep[fl_staff],flu_eth_ep[Ethnicity],$B25,flu_eth_ep[trust_type],{"Acute &amp; Community","Community","Mental Health","Mental Health &amp; Community"}))</f>
        <v>755</v>
      </c>
      <c r="D25" s="6" cm="1">
        <f t="array" ref="D25">SUM(SUMIFS(flu_eth_ep[fl_doses],flu_eth_ep[Ethnicity],$B25,flu_eth_ep[trust_type],{"Acute &amp; Community","Community","Mental Health","Mental Health &amp; Community"}))</f>
        <v>177</v>
      </c>
      <c r="E25" s="7">
        <f t="shared" si="5"/>
        <v>0.23443708609271524</v>
      </c>
      <c r="I25" s="2">
        <f t="shared" si="6"/>
        <v>15</v>
      </c>
      <c r="K25" s="2">
        <v>10</v>
      </c>
      <c r="M25" s="5" t="str">
        <f t="shared" si="7"/>
        <v>X: Unknown</v>
      </c>
      <c r="N25" s="6">
        <f t="shared" si="7"/>
        <v>3066</v>
      </c>
      <c r="O25" s="6">
        <f t="shared" si="7"/>
        <v>999</v>
      </c>
      <c r="P25" s="7">
        <f t="shared" si="7"/>
        <v>0.32583170254403132</v>
      </c>
      <c r="AD25"/>
    </row>
    <row r="26" spans="2:30" x14ac:dyDescent="0.35">
      <c r="B26" s="5" t="s">
        <v>141</v>
      </c>
      <c r="C26" s="6" cm="1">
        <f t="array" ref="C26">SUM(SUMIFS(flu_eth_ep[fl_staff],flu_eth_ep[Ethnicity],$B26,flu_eth_ep[trust_type],{"Acute &amp; Community","Community","Mental Health","Mental Health &amp; Community"}))</f>
        <v>3114</v>
      </c>
      <c r="D26" s="6" cm="1">
        <f t="array" ref="D26">SUM(SUMIFS(flu_eth_ep[fl_doses],flu_eth_ep[Ethnicity],$B26,flu_eth_ep[trust_type],{"Acute &amp; Community","Community","Mental Health","Mental Health &amp; Community"}))</f>
        <v>1190</v>
      </c>
      <c r="E26" s="7">
        <f t="shared" si="5"/>
        <v>0.3821451509312781</v>
      </c>
      <c r="I26" s="2">
        <f t="shared" si="6"/>
        <v>5</v>
      </c>
      <c r="K26" s="2">
        <v>11</v>
      </c>
      <c r="M26" s="5" t="str">
        <f t="shared" si="7"/>
        <v>N: Black or Black British - African</v>
      </c>
      <c r="N26" s="6">
        <f t="shared" si="7"/>
        <v>10707</v>
      </c>
      <c r="O26" s="6">
        <f t="shared" si="7"/>
        <v>2786</v>
      </c>
      <c r="P26" s="7">
        <f t="shared" si="7"/>
        <v>0.260203605118147</v>
      </c>
      <c r="AD26"/>
    </row>
    <row r="27" spans="2:30" x14ac:dyDescent="0.35">
      <c r="B27" s="5" t="s">
        <v>61</v>
      </c>
      <c r="C27" s="6" cm="1">
        <f t="array" ref="C27">SUM(SUMIFS(flu_eth_ep[fl_staff],flu_eth_ep[Ethnicity],$B27,flu_eth_ep[trust_type],{"Acute &amp; Community","Community","Mental Health","Mental Health &amp; Community"}))</f>
        <v>1937</v>
      </c>
      <c r="D27" s="6" cm="1">
        <f t="array" ref="D27">SUM(SUMIFS(flu_eth_ep[fl_doses],flu_eth_ep[Ethnicity],$B27,flu_eth_ep[trust_type],{"Acute &amp; Community","Community","Mental Health","Mental Health &amp; Community"}))</f>
        <v>359</v>
      </c>
      <c r="E27" s="7">
        <f t="shared" si="5"/>
        <v>0.1853381517811048</v>
      </c>
      <c r="I27" s="2">
        <f t="shared" si="6"/>
        <v>17</v>
      </c>
      <c r="K27" s="2">
        <v>12</v>
      </c>
      <c r="M27" s="5" t="str">
        <f t="shared" si="7"/>
        <v>J: Asian or Asian British - Pakistani</v>
      </c>
      <c r="N27" s="6">
        <f t="shared" si="7"/>
        <v>939</v>
      </c>
      <c r="O27" s="6">
        <f t="shared" si="7"/>
        <v>225</v>
      </c>
      <c r="P27" s="7">
        <f t="shared" si="7"/>
        <v>0.23961661341853036</v>
      </c>
      <c r="AD27"/>
    </row>
    <row r="28" spans="2:30" x14ac:dyDescent="0.35">
      <c r="B28" s="5" t="s">
        <v>100</v>
      </c>
      <c r="C28" s="6" cm="1">
        <f t="array" ref="C28">SUM(SUMIFS(flu_eth_ep[fl_staff],flu_eth_ep[Ethnicity],$B28,flu_eth_ep[trust_type],{"Acute &amp; Community","Community","Mental Health","Mental Health &amp; Community"}))</f>
        <v>10707</v>
      </c>
      <c r="D28" s="6" cm="1">
        <f t="array" ref="D28">SUM(SUMIFS(flu_eth_ep[fl_doses],flu_eth_ep[Ethnicity],$B28,flu_eth_ep[trust_type],{"Acute &amp; Community","Community","Mental Health","Mental Health &amp; Community"}))</f>
        <v>2786</v>
      </c>
      <c r="E28" s="7">
        <f t="shared" si="5"/>
        <v>0.260203605118147</v>
      </c>
      <c r="I28" s="2">
        <f t="shared" si="6"/>
        <v>11</v>
      </c>
      <c r="K28" s="2">
        <v>13</v>
      </c>
      <c r="M28" s="5" t="str">
        <f t="shared" si="7"/>
        <v>D: Mixed - White and Black Caribbean</v>
      </c>
      <c r="N28" s="6">
        <f t="shared" si="7"/>
        <v>436</v>
      </c>
      <c r="O28" s="6">
        <f t="shared" si="7"/>
        <v>103</v>
      </c>
      <c r="P28" s="7">
        <f t="shared" si="7"/>
        <v>0.23623853211009174</v>
      </c>
      <c r="AD28"/>
    </row>
    <row r="29" spans="2:30" x14ac:dyDescent="0.35">
      <c r="B29" s="5" t="s">
        <v>75</v>
      </c>
      <c r="C29" s="6" cm="1">
        <f t="array" ref="C29">SUM(SUMIFS(flu_eth_ep[fl_staff],flu_eth_ep[Ethnicity],$B29,flu_eth_ep[trust_type],{"Acute &amp; Community","Community","Mental Health","Mental Health &amp; Community"}))</f>
        <v>2701</v>
      </c>
      <c r="D29" s="6" cm="1">
        <f t="array" ref="D29">SUM(SUMIFS(flu_eth_ep[fl_doses],flu_eth_ep[Ethnicity],$B29,flu_eth_ep[trust_type],{"Acute &amp; Community","Community","Mental Health","Mental Health &amp; Community"}))</f>
        <v>606</v>
      </c>
      <c r="E29" s="7">
        <f t="shared" si="5"/>
        <v>0.22436134764901888</v>
      </c>
      <c r="I29" s="2">
        <f t="shared" si="6"/>
        <v>16</v>
      </c>
      <c r="K29" s="2">
        <v>14</v>
      </c>
      <c r="M29" s="5" t="str">
        <f t="shared" si="7"/>
        <v>E: Mixed - White and Black African</v>
      </c>
      <c r="N29" s="6">
        <f t="shared" si="7"/>
        <v>806</v>
      </c>
      <c r="O29" s="6">
        <f t="shared" si="7"/>
        <v>190</v>
      </c>
      <c r="P29" s="7">
        <f t="shared" si="7"/>
        <v>0.23573200992555832</v>
      </c>
      <c r="AD29"/>
    </row>
    <row r="30" spans="2:30" x14ac:dyDescent="0.35">
      <c r="B30" s="5" t="s">
        <v>106</v>
      </c>
      <c r="C30" s="6" cm="1">
        <f t="array" ref="C30">SUM(SUMIFS(flu_eth_ep[fl_staff],flu_eth_ep[Ethnicity],$B30,flu_eth_ep[trust_type],{"Acute &amp; Community","Community","Mental Health","Mental Health &amp; Community"}))</f>
        <v>471</v>
      </c>
      <c r="D30" s="6" cm="1">
        <f t="array" ref="D30">SUM(SUMIFS(flu_eth_ep[fl_doses],flu_eth_ep[Ethnicity],$B30,flu_eth_ep[trust_type],{"Acute &amp; Community","Community","Mental Health","Mental Health &amp; Community"}))</f>
        <v>238</v>
      </c>
      <c r="E30" s="7">
        <f t="shared" si="5"/>
        <v>0.50530785562632696</v>
      </c>
      <c r="I30" s="2">
        <f t="shared" si="6"/>
        <v>1</v>
      </c>
      <c r="K30" s="2">
        <v>15</v>
      </c>
      <c r="M30" s="5" t="str">
        <f t="shared" si="7"/>
        <v>K: Asian or Asian British - Bangladeshi</v>
      </c>
      <c r="N30" s="6">
        <f t="shared" si="7"/>
        <v>755</v>
      </c>
      <c r="O30" s="6">
        <f t="shared" si="7"/>
        <v>177</v>
      </c>
      <c r="P30" s="7">
        <f t="shared" si="7"/>
        <v>0.23443708609271524</v>
      </c>
      <c r="AD30"/>
    </row>
    <row r="31" spans="2:30" x14ac:dyDescent="0.35">
      <c r="B31" s="5" t="s">
        <v>112</v>
      </c>
      <c r="C31" s="6" cm="1">
        <f t="array" ref="C31">SUM(SUMIFS(flu_eth_ep[fl_staff],flu_eth_ep[Ethnicity],$B31,flu_eth_ep[trust_type],{"Acute &amp; Community","Community","Mental Health","Mental Health &amp; Community"}))</f>
        <v>2447</v>
      </c>
      <c r="D31" s="6" cm="1">
        <f t="array" ref="D31">SUM(SUMIFS(flu_eth_ep[fl_doses],flu_eth_ep[Ethnicity],$B31,flu_eth_ep[trust_type],{"Acute &amp; Community","Community","Mental Health","Mental Health &amp; Community"}))</f>
        <v>842</v>
      </c>
      <c r="E31" s="7">
        <f t="shared" si="5"/>
        <v>0.34409480997139352</v>
      </c>
      <c r="I31" s="2">
        <f t="shared" si="6"/>
        <v>9</v>
      </c>
      <c r="K31" s="2">
        <v>16</v>
      </c>
      <c r="M31" s="5" t="str">
        <f t="shared" si="7"/>
        <v>P: Black or Black British - Any other Black background</v>
      </c>
      <c r="N31" s="6">
        <f t="shared" si="7"/>
        <v>2701</v>
      </c>
      <c r="O31" s="6">
        <f t="shared" si="7"/>
        <v>606</v>
      </c>
      <c r="P31" s="7">
        <f t="shared" si="7"/>
        <v>0.22436134764901888</v>
      </c>
      <c r="AD31"/>
    </row>
    <row r="32" spans="2:30" x14ac:dyDescent="0.35">
      <c r="B32" s="5" t="s">
        <v>36</v>
      </c>
      <c r="C32" s="6" cm="1">
        <f t="array" ref="C32">SUM(SUMIFS(flu_eth_ep[fl_staff],flu_eth_ep[Ethnicity],$B32,flu_eth_ep[trust_type],{"Acute &amp; Community","Community","Mental Health","Mental Health &amp; Community"}))</f>
        <v>3066</v>
      </c>
      <c r="D32" s="6" cm="1">
        <f t="array" ref="D32">SUM(SUMIFS(flu_eth_ep[fl_doses],flu_eth_ep[Ethnicity],$B32,flu_eth_ep[trust_type],{"Acute &amp; Community","Community","Mental Health","Mental Health &amp; Community"}))</f>
        <v>999</v>
      </c>
      <c r="E32" s="7">
        <f t="shared" si="5"/>
        <v>0.32583170254403132</v>
      </c>
      <c r="I32" s="2">
        <f t="shared" si="6"/>
        <v>10</v>
      </c>
      <c r="K32" s="2">
        <v>17</v>
      </c>
      <c r="M32" s="5" t="str">
        <f t="shared" si="7"/>
        <v>M: Black or Black British - Caribbean</v>
      </c>
      <c r="N32" s="6">
        <f t="shared" si="7"/>
        <v>1937</v>
      </c>
      <c r="O32" s="6">
        <f t="shared" si="7"/>
        <v>359</v>
      </c>
      <c r="P32" s="7">
        <f t="shared" si="7"/>
        <v>0.1853381517811048</v>
      </c>
      <c r="AD32"/>
    </row>
    <row r="33" spans="36:36" x14ac:dyDescent="0.35">
      <c r="AJ33"/>
    </row>
    <row r="34" spans="36:36" x14ac:dyDescent="0.35">
      <c r="AJ34"/>
    </row>
    <row r="35" spans="36:36" x14ac:dyDescent="0.35">
      <c r="AJ35"/>
    </row>
    <row r="36" spans="36:36" x14ac:dyDescent="0.35">
      <c r="AJ36"/>
    </row>
    <row r="37" spans="36:36" x14ac:dyDescent="0.35">
      <c r="AJ37"/>
    </row>
    <row r="38" spans="36:36" x14ac:dyDescent="0.35">
      <c r="AJ38"/>
    </row>
    <row r="39" spans="36:36" x14ac:dyDescent="0.35">
      <c r="AJ39"/>
    </row>
    <row r="40" spans="36:36" x14ac:dyDescent="0.35">
      <c r="AJ40"/>
    </row>
    <row r="41" spans="36:36" x14ac:dyDescent="0.35">
      <c r="AJ41"/>
    </row>
    <row r="42" spans="36:36" x14ac:dyDescent="0.35">
      <c r="AJ42"/>
    </row>
    <row r="43" spans="36:36" x14ac:dyDescent="0.35">
      <c r="AJ43"/>
    </row>
    <row r="44" spans="36:36" x14ac:dyDescent="0.35">
      <c r="AJ44"/>
    </row>
    <row r="45" spans="36:36" x14ac:dyDescent="0.35">
      <c r="AJ45"/>
    </row>
    <row r="46" spans="36:36" x14ac:dyDescent="0.35">
      <c r="AJ46"/>
    </row>
    <row r="47" spans="36:36" x14ac:dyDescent="0.35">
      <c r="AJ47"/>
    </row>
    <row r="48" spans="36:36" x14ac:dyDescent="0.35">
      <c r="AJ48"/>
    </row>
    <row r="49" spans="36:36" x14ac:dyDescent="0.35">
      <c r="AJ49"/>
    </row>
    <row r="50" spans="36:36" x14ac:dyDescent="0.35">
      <c r="AJ50"/>
    </row>
    <row r="51" spans="36:36" x14ac:dyDescent="0.35">
      <c r="AJ51"/>
    </row>
    <row r="52" spans="36:36" x14ac:dyDescent="0.35">
      <c r="AJ52"/>
    </row>
    <row r="53" spans="36:36" x14ac:dyDescent="0.35">
      <c r="AJ53"/>
    </row>
    <row r="54" spans="36:36" x14ac:dyDescent="0.35">
      <c r="AJ54"/>
    </row>
    <row r="55" spans="36:36" x14ac:dyDescent="0.35">
      <c r="AJ55"/>
    </row>
    <row r="56" spans="36:36" x14ac:dyDescent="0.35">
      <c r="AJ56"/>
    </row>
    <row r="57" spans="36:36" x14ac:dyDescent="0.35">
      <c r="AJ57"/>
    </row>
    <row r="58" spans="36:36" x14ac:dyDescent="0.35">
      <c r="AJ58"/>
    </row>
    <row r="59" spans="36:36" x14ac:dyDescent="0.35">
      <c r="AJ59"/>
    </row>
    <row r="60" spans="36:36" x14ac:dyDescent="0.35">
      <c r="AJ60"/>
    </row>
    <row r="61" spans="36:36" x14ac:dyDescent="0.35">
      <c r="AJ61"/>
    </row>
    <row r="62" spans="36:36" x14ac:dyDescent="0.35">
      <c r="AJ62"/>
    </row>
    <row r="63" spans="36:36" x14ac:dyDescent="0.35">
      <c r="AJ63"/>
    </row>
    <row r="64" spans="36:36" x14ac:dyDescent="0.35">
      <c r="AJ64"/>
    </row>
    <row r="65" spans="36:36" x14ac:dyDescent="0.35">
      <c r="AJ65"/>
    </row>
    <row r="66" spans="36:36" x14ac:dyDescent="0.35">
      <c r="AJ66"/>
    </row>
    <row r="67" spans="36:36" x14ac:dyDescent="0.35">
      <c r="AJ67"/>
    </row>
    <row r="68" spans="36:36" x14ac:dyDescent="0.35">
      <c r="AJ68"/>
    </row>
    <row r="69" spans="36:36" x14ac:dyDescent="0.35">
      <c r="AJ69"/>
    </row>
    <row r="70" spans="36:36" x14ac:dyDescent="0.35">
      <c r="AJ70"/>
    </row>
    <row r="71" spans="36:36" x14ac:dyDescent="0.35">
      <c r="AJ71"/>
    </row>
    <row r="72" spans="36:36" x14ac:dyDescent="0.35">
      <c r="AJ72"/>
    </row>
    <row r="73" spans="36:36" x14ac:dyDescent="0.35">
      <c r="AJ73"/>
    </row>
    <row r="74" spans="36:36" x14ac:dyDescent="0.35">
      <c r="AJ74"/>
    </row>
    <row r="75" spans="36:36" x14ac:dyDescent="0.35">
      <c r="AJ75"/>
    </row>
    <row r="76" spans="36:36" x14ac:dyDescent="0.35">
      <c r="AJ76"/>
    </row>
    <row r="77" spans="36:36" x14ac:dyDescent="0.35">
      <c r="AJ77"/>
    </row>
    <row r="78" spans="36:36" x14ac:dyDescent="0.35">
      <c r="AJ78"/>
    </row>
    <row r="79" spans="36:36" x14ac:dyDescent="0.35">
      <c r="AJ79"/>
    </row>
    <row r="80" spans="36:36" x14ac:dyDescent="0.35">
      <c r="AJ80"/>
    </row>
    <row r="81" spans="36:36" x14ac:dyDescent="0.35">
      <c r="AJ81"/>
    </row>
    <row r="82" spans="36:36" x14ac:dyDescent="0.35">
      <c r="AJ82"/>
    </row>
    <row r="83" spans="36:36" x14ac:dyDescent="0.35">
      <c r="AJ83"/>
    </row>
    <row r="84" spans="36:36" x14ac:dyDescent="0.35">
      <c r="AJ84"/>
    </row>
    <row r="85" spans="36:36" x14ac:dyDescent="0.35">
      <c r="AJ85"/>
    </row>
    <row r="86" spans="36:36" x14ac:dyDescent="0.35">
      <c r="AJ86"/>
    </row>
    <row r="87" spans="36:36" x14ac:dyDescent="0.35">
      <c r="AJ87"/>
    </row>
    <row r="88" spans="36:36" x14ac:dyDescent="0.35">
      <c r="AJ88"/>
    </row>
    <row r="89" spans="36:36" x14ac:dyDescent="0.35">
      <c r="AJ89"/>
    </row>
    <row r="90" spans="36:36" x14ac:dyDescent="0.35">
      <c r="AJ90"/>
    </row>
    <row r="91" spans="36:36" x14ac:dyDescent="0.35">
      <c r="AJ91"/>
    </row>
    <row r="92" spans="36:36" x14ac:dyDescent="0.35">
      <c r="AJ92"/>
    </row>
    <row r="93" spans="36:36" x14ac:dyDescent="0.35">
      <c r="AJ93"/>
    </row>
    <row r="94" spans="36:36" x14ac:dyDescent="0.35">
      <c r="AJ94"/>
    </row>
    <row r="95" spans="36:36" x14ac:dyDescent="0.35">
      <c r="AJ95"/>
    </row>
    <row r="96" spans="36:36" x14ac:dyDescent="0.35">
      <c r="AJ96"/>
    </row>
    <row r="97" spans="36:36" x14ac:dyDescent="0.35">
      <c r="AJ97"/>
    </row>
    <row r="98" spans="36:36" x14ac:dyDescent="0.35">
      <c r="AJ98"/>
    </row>
    <row r="99" spans="36:36" x14ac:dyDescent="0.35">
      <c r="AJ99"/>
    </row>
    <row r="100" spans="36:36" x14ac:dyDescent="0.35">
      <c r="AJ100"/>
    </row>
    <row r="101" spans="36:36" x14ac:dyDescent="0.35">
      <c r="AJ101"/>
    </row>
    <row r="102" spans="36:36" x14ac:dyDescent="0.35">
      <c r="AJ102"/>
    </row>
    <row r="103" spans="36:36" x14ac:dyDescent="0.35">
      <c r="AJ103"/>
    </row>
    <row r="104" spans="36:36" x14ac:dyDescent="0.35">
      <c r="AJ104"/>
    </row>
    <row r="105" spans="36:36" x14ac:dyDescent="0.35">
      <c r="AJ105"/>
    </row>
    <row r="106" spans="36:36" x14ac:dyDescent="0.35">
      <c r="AJ106"/>
    </row>
    <row r="107" spans="36:36" x14ac:dyDescent="0.35">
      <c r="AJ107"/>
    </row>
    <row r="108" spans="36:36" x14ac:dyDescent="0.35">
      <c r="AJ108"/>
    </row>
    <row r="109" spans="36:36" x14ac:dyDescent="0.35">
      <c r="AJ109"/>
    </row>
    <row r="110" spans="36:36" x14ac:dyDescent="0.35">
      <c r="AJ110"/>
    </row>
    <row r="111" spans="36:36" x14ac:dyDescent="0.35">
      <c r="AJ111"/>
    </row>
    <row r="112" spans="36:36" x14ac:dyDescent="0.35">
      <c r="AJ112"/>
    </row>
    <row r="113" spans="36:36" x14ac:dyDescent="0.35">
      <c r="AJ113"/>
    </row>
    <row r="114" spans="36:36" x14ac:dyDescent="0.35">
      <c r="AJ114"/>
    </row>
    <row r="115" spans="36:36" x14ac:dyDescent="0.35">
      <c r="AJ115"/>
    </row>
    <row r="116" spans="36:36" x14ac:dyDescent="0.35">
      <c r="AJ116"/>
    </row>
    <row r="117" spans="36:36" x14ac:dyDescent="0.35">
      <c r="AJ117"/>
    </row>
    <row r="118" spans="36:36" x14ac:dyDescent="0.35">
      <c r="AJ118"/>
    </row>
    <row r="119" spans="36:36" x14ac:dyDescent="0.35">
      <c r="AJ119"/>
    </row>
    <row r="120" spans="36:36" x14ac:dyDescent="0.35">
      <c r="AJ120"/>
    </row>
    <row r="121" spans="36:36" x14ac:dyDescent="0.35">
      <c r="AJ121"/>
    </row>
    <row r="122" spans="36:36" x14ac:dyDescent="0.35">
      <c r="AJ122"/>
    </row>
    <row r="123" spans="36:36" x14ac:dyDescent="0.35">
      <c r="AJ123"/>
    </row>
    <row r="124" spans="36:36" x14ac:dyDescent="0.35">
      <c r="AJ124"/>
    </row>
    <row r="125" spans="36:36" x14ac:dyDescent="0.35">
      <c r="AJ125"/>
    </row>
    <row r="126" spans="36:36" x14ac:dyDescent="0.35">
      <c r="AJ126"/>
    </row>
    <row r="127" spans="36:36" x14ac:dyDescent="0.35">
      <c r="AJ127"/>
    </row>
    <row r="128" spans="36:36" x14ac:dyDescent="0.35">
      <c r="AJ128"/>
    </row>
    <row r="129" spans="36:36" x14ac:dyDescent="0.35">
      <c r="AJ129"/>
    </row>
    <row r="130" spans="36:36" x14ac:dyDescent="0.35">
      <c r="AJ130"/>
    </row>
    <row r="131" spans="36:36" x14ac:dyDescent="0.35">
      <c r="AJ131"/>
    </row>
    <row r="132" spans="36:36" x14ac:dyDescent="0.35">
      <c r="AJ132"/>
    </row>
    <row r="133" spans="36:36" x14ac:dyDescent="0.35">
      <c r="AJ133"/>
    </row>
    <row r="134" spans="36:36" x14ac:dyDescent="0.35">
      <c r="AJ134"/>
    </row>
    <row r="135" spans="36:36" x14ac:dyDescent="0.35">
      <c r="AJ135"/>
    </row>
    <row r="136" spans="36:36" x14ac:dyDescent="0.35">
      <c r="AJ136"/>
    </row>
    <row r="137" spans="36:36" x14ac:dyDescent="0.35">
      <c r="AJ137"/>
    </row>
    <row r="138" spans="36:36" x14ac:dyDescent="0.35">
      <c r="AJ138"/>
    </row>
    <row r="139" spans="36:36" x14ac:dyDescent="0.35">
      <c r="AJ139"/>
    </row>
    <row r="140" spans="36:36" x14ac:dyDescent="0.35">
      <c r="AJ140"/>
    </row>
    <row r="141" spans="36:36" x14ac:dyDescent="0.35">
      <c r="AJ141"/>
    </row>
    <row r="142" spans="36:36" x14ac:dyDescent="0.35">
      <c r="AJ142"/>
    </row>
    <row r="143" spans="36:36" x14ac:dyDescent="0.35">
      <c r="AJ143"/>
    </row>
    <row r="144" spans="36:36" x14ac:dyDescent="0.35">
      <c r="AJ144"/>
    </row>
    <row r="145" spans="36:36" x14ac:dyDescent="0.35">
      <c r="AJ145"/>
    </row>
    <row r="146" spans="36:36" x14ac:dyDescent="0.35">
      <c r="AJ146"/>
    </row>
    <row r="147" spans="36:36" x14ac:dyDescent="0.35">
      <c r="AJ147"/>
    </row>
    <row r="148" spans="36:36" x14ac:dyDescent="0.35">
      <c r="AJ148"/>
    </row>
    <row r="149" spans="36:36" x14ac:dyDescent="0.35">
      <c r="AJ149"/>
    </row>
    <row r="150" spans="36:36" x14ac:dyDescent="0.35">
      <c r="AJ150"/>
    </row>
    <row r="151" spans="36:36" x14ac:dyDescent="0.35">
      <c r="AJ151"/>
    </row>
    <row r="152" spans="36:36" x14ac:dyDescent="0.35">
      <c r="AJ152"/>
    </row>
    <row r="153" spans="36:36" x14ac:dyDescent="0.35">
      <c r="AJ153"/>
    </row>
    <row r="154" spans="36:36" x14ac:dyDescent="0.35">
      <c r="AJ154"/>
    </row>
    <row r="155" spans="36:36" x14ac:dyDescent="0.35">
      <c r="AJ155"/>
    </row>
    <row r="156" spans="36:36" x14ac:dyDescent="0.35">
      <c r="AJ156"/>
    </row>
    <row r="157" spans="36:36" x14ac:dyDescent="0.35">
      <c r="AJ157"/>
    </row>
    <row r="158" spans="36:36" x14ac:dyDescent="0.35">
      <c r="AJ158"/>
    </row>
    <row r="159" spans="36:36" x14ac:dyDescent="0.35">
      <c r="AJ159"/>
    </row>
    <row r="160" spans="36:36" x14ac:dyDescent="0.35">
      <c r="AJ160"/>
    </row>
    <row r="161" spans="36:36" x14ac:dyDescent="0.35">
      <c r="AJ161"/>
    </row>
    <row r="162" spans="36:36" x14ac:dyDescent="0.35">
      <c r="AJ162"/>
    </row>
    <row r="163" spans="36:36" x14ac:dyDescent="0.35">
      <c r="AJ163"/>
    </row>
    <row r="164" spans="36:36" x14ac:dyDescent="0.35">
      <c r="AJ164"/>
    </row>
    <row r="165" spans="36:36" x14ac:dyDescent="0.35">
      <c r="AJ165"/>
    </row>
    <row r="166" spans="36:36" x14ac:dyDescent="0.35">
      <c r="AJ166"/>
    </row>
    <row r="167" spans="36:36" x14ac:dyDescent="0.35">
      <c r="AJ167"/>
    </row>
    <row r="168" spans="36:36" x14ac:dyDescent="0.35">
      <c r="AJ168"/>
    </row>
    <row r="169" spans="36:36" x14ac:dyDescent="0.35">
      <c r="AJ169"/>
    </row>
    <row r="170" spans="36:36" x14ac:dyDescent="0.35">
      <c r="AJ170"/>
    </row>
    <row r="171" spans="36:36" x14ac:dyDescent="0.35">
      <c r="AJ171"/>
    </row>
    <row r="172" spans="36:36" x14ac:dyDescent="0.35">
      <c r="AJ172"/>
    </row>
    <row r="173" spans="36:36" x14ac:dyDescent="0.35">
      <c r="AJ173"/>
    </row>
    <row r="174" spans="36:36" x14ac:dyDescent="0.35">
      <c r="AJ174"/>
    </row>
    <row r="175" spans="36:36" x14ac:dyDescent="0.35">
      <c r="AJ175"/>
    </row>
    <row r="176" spans="36:36" x14ac:dyDescent="0.35">
      <c r="AJ176"/>
    </row>
    <row r="177" spans="36:36" x14ac:dyDescent="0.35">
      <c r="AJ177"/>
    </row>
    <row r="178" spans="36:36" x14ac:dyDescent="0.35">
      <c r="AJ178"/>
    </row>
    <row r="179" spans="36:36" x14ac:dyDescent="0.35">
      <c r="AJ179"/>
    </row>
    <row r="180" spans="36:36" x14ac:dyDescent="0.35">
      <c r="AJ180"/>
    </row>
    <row r="181" spans="36:36" x14ac:dyDescent="0.35">
      <c r="AJ181"/>
    </row>
    <row r="182" spans="36:36" x14ac:dyDescent="0.35">
      <c r="AJ182"/>
    </row>
    <row r="183" spans="36:36" x14ac:dyDescent="0.35">
      <c r="AJ183"/>
    </row>
    <row r="184" spans="36:36" x14ac:dyDescent="0.35">
      <c r="AJ184"/>
    </row>
    <row r="185" spans="36:36" x14ac:dyDescent="0.35">
      <c r="AJ185"/>
    </row>
    <row r="186" spans="36:36" x14ac:dyDescent="0.35">
      <c r="AJ186"/>
    </row>
    <row r="187" spans="36:36" x14ac:dyDescent="0.35">
      <c r="AJ187"/>
    </row>
    <row r="188" spans="36:36" x14ac:dyDescent="0.35">
      <c r="AJ188"/>
    </row>
    <row r="189" spans="36:36" x14ac:dyDescent="0.35">
      <c r="AJ189"/>
    </row>
    <row r="190" spans="36:36" x14ac:dyDescent="0.35">
      <c r="AJ190"/>
    </row>
    <row r="191" spans="36:36" x14ac:dyDescent="0.35">
      <c r="AJ191"/>
    </row>
    <row r="192" spans="36:36" x14ac:dyDescent="0.35">
      <c r="AJ192"/>
    </row>
    <row r="193" spans="36:36" x14ac:dyDescent="0.35">
      <c r="AJ193"/>
    </row>
    <row r="194" spans="36:36" x14ac:dyDescent="0.35">
      <c r="AJ194"/>
    </row>
    <row r="195" spans="36:36" x14ac:dyDescent="0.35">
      <c r="AJ195"/>
    </row>
    <row r="196" spans="36:36" x14ac:dyDescent="0.35">
      <c r="AJ196"/>
    </row>
    <row r="197" spans="36:36" x14ac:dyDescent="0.35">
      <c r="AJ197"/>
    </row>
    <row r="198" spans="36:36" x14ac:dyDescent="0.35">
      <c r="AJ198"/>
    </row>
    <row r="199" spans="36:36" x14ac:dyDescent="0.35">
      <c r="AJ199"/>
    </row>
    <row r="200" spans="36:36" x14ac:dyDescent="0.35">
      <c r="AJ200"/>
    </row>
    <row r="201" spans="36:36" x14ac:dyDescent="0.35">
      <c r="AJ201"/>
    </row>
    <row r="202" spans="36:36" x14ac:dyDescent="0.35">
      <c r="AJ202"/>
    </row>
    <row r="203" spans="36:36" x14ac:dyDescent="0.35">
      <c r="AJ203"/>
    </row>
    <row r="204" spans="36:36" x14ac:dyDescent="0.35">
      <c r="AJ204"/>
    </row>
    <row r="205" spans="36:36" x14ac:dyDescent="0.35">
      <c r="AJ205"/>
    </row>
    <row r="206" spans="36:36" x14ac:dyDescent="0.35">
      <c r="AJ206"/>
    </row>
    <row r="207" spans="36:36" x14ac:dyDescent="0.35">
      <c r="AJ207"/>
    </row>
    <row r="208" spans="36:36" x14ac:dyDescent="0.35">
      <c r="AJ208"/>
    </row>
    <row r="209" spans="36:36" x14ac:dyDescent="0.35">
      <c r="AJ209"/>
    </row>
    <row r="210" spans="36:36" x14ac:dyDescent="0.35">
      <c r="AJ210"/>
    </row>
    <row r="211" spans="36:36" x14ac:dyDescent="0.35">
      <c r="AJ211"/>
    </row>
    <row r="212" spans="36:36" x14ac:dyDescent="0.35">
      <c r="AJ212"/>
    </row>
    <row r="213" spans="36:36" x14ac:dyDescent="0.35">
      <c r="AJ213"/>
    </row>
    <row r="214" spans="36:36" x14ac:dyDescent="0.35">
      <c r="AJ214"/>
    </row>
    <row r="215" spans="36:36" x14ac:dyDescent="0.35">
      <c r="AJ215"/>
    </row>
    <row r="216" spans="36:36" x14ac:dyDescent="0.35">
      <c r="AJ216"/>
    </row>
    <row r="217" spans="36:36" x14ac:dyDescent="0.35">
      <c r="AJ217"/>
    </row>
    <row r="218" spans="36:36" x14ac:dyDescent="0.35">
      <c r="AJ218"/>
    </row>
    <row r="219" spans="36:36" x14ac:dyDescent="0.35">
      <c r="AJ219"/>
    </row>
    <row r="220" spans="36:36" x14ac:dyDescent="0.35">
      <c r="AJ220"/>
    </row>
    <row r="221" spans="36:36" x14ac:dyDescent="0.35">
      <c r="AJ221"/>
    </row>
    <row r="222" spans="36:36" x14ac:dyDescent="0.35">
      <c r="AJ222"/>
    </row>
    <row r="223" spans="36:36" x14ac:dyDescent="0.35">
      <c r="AJ223"/>
    </row>
    <row r="224" spans="36:36" x14ac:dyDescent="0.35">
      <c r="AJ224"/>
    </row>
    <row r="225" spans="36:36" x14ac:dyDescent="0.35">
      <c r="AJ225"/>
    </row>
    <row r="226" spans="36:36" x14ac:dyDescent="0.35">
      <c r="AJ226"/>
    </row>
    <row r="227" spans="36:36" x14ac:dyDescent="0.35">
      <c r="AJ227"/>
    </row>
    <row r="228" spans="36:36" x14ac:dyDescent="0.35">
      <c r="AJ228"/>
    </row>
    <row r="229" spans="36:36" x14ac:dyDescent="0.35">
      <c r="AJ229"/>
    </row>
    <row r="230" spans="36:36" x14ac:dyDescent="0.35">
      <c r="AJ230"/>
    </row>
    <row r="231" spans="36:36" x14ac:dyDescent="0.35">
      <c r="AJ231"/>
    </row>
    <row r="232" spans="36:36" x14ac:dyDescent="0.35">
      <c r="AJ232"/>
    </row>
    <row r="233" spans="36:36" x14ac:dyDescent="0.35">
      <c r="AJ233"/>
    </row>
    <row r="234" spans="36:36" x14ac:dyDescent="0.35">
      <c r="AJ234"/>
    </row>
    <row r="235" spans="36:36" x14ac:dyDescent="0.35">
      <c r="AJ235"/>
    </row>
    <row r="236" spans="36:36" x14ac:dyDescent="0.35">
      <c r="AJ236"/>
    </row>
    <row r="237" spans="36:36" x14ac:dyDescent="0.35">
      <c r="AJ237"/>
    </row>
    <row r="238" spans="36:36" x14ac:dyDescent="0.35">
      <c r="AJ238"/>
    </row>
    <row r="239" spans="36:36" x14ac:dyDescent="0.35">
      <c r="AJ239"/>
    </row>
    <row r="240" spans="36:36" x14ac:dyDescent="0.35">
      <c r="AJ240"/>
    </row>
    <row r="241" spans="36:36" x14ac:dyDescent="0.35">
      <c r="AJ241"/>
    </row>
    <row r="242" spans="36:36" x14ac:dyDescent="0.35">
      <c r="AJ242"/>
    </row>
    <row r="243" spans="36:36" x14ac:dyDescent="0.35">
      <c r="AJ243"/>
    </row>
    <row r="244" spans="36:36" x14ac:dyDescent="0.35">
      <c r="AJ244"/>
    </row>
    <row r="245" spans="36:36" x14ac:dyDescent="0.35">
      <c r="AJ245"/>
    </row>
    <row r="246" spans="36:36" x14ac:dyDescent="0.35">
      <c r="AJ246"/>
    </row>
    <row r="247" spans="36:36" x14ac:dyDescent="0.35">
      <c r="AJ247"/>
    </row>
    <row r="248" spans="36:36" x14ac:dyDescent="0.35">
      <c r="AJ248"/>
    </row>
    <row r="249" spans="36:36" x14ac:dyDescent="0.35">
      <c r="AJ249"/>
    </row>
    <row r="250" spans="36:36" x14ac:dyDescent="0.35">
      <c r="AJ250"/>
    </row>
    <row r="251" spans="36:36" x14ac:dyDescent="0.35">
      <c r="AJ251"/>
    </row>
    <row r="252" spans="36:36" x14ac:dyDescent="0.35">
      <c r="AJ252"/>
    </row>
    <row r="253" spans="36:36" x14ac:dyDescent="0.35">
      <c r="AJ253"/>
    </row>
    <row r="254" spans="36:36" x14ac:dyDescent="0.35">
      <c r="AJ254"/>
    </row>
    <row r="255" spans="36:36" x14ac:dyDescent="0.35">
      <c r="AJ255"/>
    </row>
    <row r="256" spans="36:36" x14ac:dyDescent="0.35">
      <c r="AJ256"/>
    </row>
    <row r="257" spans="36:36" x14ac:dyDescent="0.35">
      <c r="AJ257"/>
    </row>
    <row r="258" spans="36:36" x14ac:dyDescent="0.35">
      <c r="AJ258"/>
    </row>
    <row r="259" spans="36:36" x14ac:dyDescent="0.35">
      <c r="AJ259"/>
    </row>
    <row r="260" spans="36:36" x14ac:dyDescent="0.35">
      <c r="AJ260"/>
    </row>
    <row r="261" spans="36:36" x14ac:dyDescent="0.35">
      <c r="AJ261"/>
    </row>
    <row r="262" spans="36:36" x14ac:dyDescent="0.35">
      <c r="AJ262"/>
    </row>
    <row r="263" spans="36:36" x14ac:dyDescent="0.35">
      <c r="AJ263"/>
    </row>
    <row r="264" spans="36:36" x14ac:dyDescent="0.35">
      <c r="AJ264"/>
    </row>
    <row r="265" spans="36:36" x14ac:dyDescent="0.35">
      <c r="AJ265"/>
    </row>
    <row r="266" spans="36:36" x14ac:dyDescent="0.35">
      <c r="AJ266"/>
    </row>
    <row r="267" spans="36:36" x14ac:dyDescent="0.35">
      <c r="AJ267"/>
    </row>
    <row r="268" spans="36:36" x14ac:dyDescent="0.35">
      <c r="AJ268"/>
    </row>
    <row r="269" spans="36:36" x14ac:dyDescent="0.35">
      <c r="AJ269"/>
    </row>
    <row r="270" spans="36:36" x14ac:dyDescent="0.35">
      <c r="AJ270"/>
    </row>
    <row r="271" spans="36:36" x14ac:dyDescent="0.35">
      <c r="AJ271"/>
    </row>
    <row r="272" spans="36:36" x14ac:dyDescent="0.35">
      <c r="AJ272"/>
    </row>
    <row r="273" spans="36:36" x14ac:dyDescent="0.35">
      <c r="AJ273"/>
    </row>
    <row r="274" spans="36:36" x14ac:dyDescent="0.35">
      <c r="AJ274"/>
    </row>
    <row r="275" spans="36:36" x14ac:dyDescent="0.35">
      <c r="AJ275"/>
    </row>
    <row r="276" spans="36:36" x14ac:dyDescent="0.35">
      <c r="AJ276"/>
    </row>
    <row r="277" spans="36:36" x14ac:dyDescent="0.35">
      <c r="AJ277"/>
    </row>
    <row r="278" spans="36:36" x14ac:dyDescent="0.35">
      <c r="AJ278"/>
    </row>
    <row r="279" spans="36:36" x14ac:dyDescent="0.35">
      <c r="AJ279"/>
    </row>
    <row r="280" spans="36:36" x14ac:dyDescent="0.35">
      <c r="AJ280"/>
    </row>
    <row r="281" spans="36:36" x14ac:dyDescent="0.35">
      <c r="AJ281"/>
    </row>
    <row r="282" spans="36:36" x14ac:dyDescent="0.35">
      <c r="AJ282"/>
    </row>
    <row r="283" spans="36:36" x14ac:dyDescent="0.35">
      <c r="AJ283"/>
    </row>
    <row r="284" spans="36:36" x14ac:dyDescent="0.35">
      <c r="AJ284"/>
    </row>
  </sheetData>
  <conditionalFormatting sqref="E5:E13">
    <cfRule type="colorScale" priority="6">
      <colorScale>
        <cfvo type="min"/>
        <cfvo type="max"/>
        <color rgb="FFFFEF9C"/>
        <color rgb="FF63BE7B"/>
      </colorScale>
    </cfRule>
  </conditionalFormatting>
  <conditionalFormatting sqref="E16:E32">
    <cfRule type="colorScale" priority="2">
      <colorScale>
        <cfvo type="min"/>
        <cfvo type="max"/>
        <color rgb="FFFFEF9C"/>
        <color rgb="FF63BE7B"/>
      </colorScale>
    </cfRule>
  </conditionalFormatting>
  <conditionalFormatting sqref="G5:G13">
    <cfRule type="colorScale" priority="5">
      <colorScale>
        <cfvo type="min"/>
        <cfvo type="max"/>
        <color rgb="FFFFEF9C"/>
        <color rgb="FF63BE7B"/>
      </colorScale>
    </cfRule>
  </conditionalFormatting>
  <conditionalFormatting sqref="P5:P13">
    <cfRule type="colorScale" priority="4">
      <colorScale>
        <cfvo type="min"/>
        <cfvo type="max"/>
        <color rgb="FFFFEF9C"/>
        <color rgb="FF63BE7B"/>
      </colorScale>
    </cfRule>
  </conditionalFormatting>
  <conditionalFormatting sqref="P16:P32">
    <cfRule type="colorScale" priority="1">
      <colorScale>
        <cfvo type="min"/>
        <cfvo type="max"/>
        <color rgb="FFFFEF9C"/>
        <color rgb="FF63BE7B"/>
      </colorScale>
    </cfRule>
  </conditionalFormatting>
  <conditionalFormatting sqref="R5:R13">
    <cfRule type="colorScale" priority="3">
      <colorScale>
        <cfvo type="min"/>
        <cfvo type="max"/>
        <color rgb="FFFFEF9C"/>
        <color rgb="FF63BE7B"/>
      </colorScale>
    </cfRule>
  </conditionalFormatting>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32DDE-0C8F-4560-AB2C-2CCF349725F5}">
  <sheetPr>
    <tabColor theme="7"/>
  </sheetPr>
  <dimension ref="A2:AK284"/>
  <sheetViews>
    <sheetView showGridLines="0" topLeftCell="L1" zoomScale="80" zoomScaleNormal="80" workbookViewId="0"/>
  </sheetViews>
  <sheetFormatPr defaultColWidth="8.81640625" defaultRowHeight="14.5" outlineLevelCol="1" x14ac:dyDescent="0.35"/>
  <cols>
    <col min="1" max="1" width="8.54296875" style="2" hidden="1" customWidth="1" outlineLevel="1"/>
    <col min="2" max="2" width="46.81640625" style="2" hidden="1" customWidth="1" outlineLevel="1"/>
    <col min="3" max="8" width="11.54296875" style="2" hidden="1" customWidth="1" outlineLevel="1"/>
    <col min="9" max="11" width="9.1796875" style="2" hidden="1" customWidth="1" outlineLevel="1"/>
    <col min="12" max="12" width="8.54296875" style="2" customWidth="1" collapsed="1"/>
    <col min="13" max="13" width="53.453125" style="2" customWidth="1"/>
    <col min="14" max="19" width="11.54296875" style="2" customWidth="1"/>
    <col min="20" max="33" width="8.81640625" style="2"/>
    <col min="34" max="34" width="17.54296875" style="2" customWidth="1"/>
    <col min="35" max="16384" width="8.81640625" style="2"/>
  </cols>
  <sheetData>
    <row r="2" spans="2:37" ht="26" x14ac:dyDescent="0.6">
      <c r="M2" s="11" t="s">
        <v>628</v>
      </c>
    </row>
    <row r="4" spans="2:37" ht="36.65" customHeight="1" x14ac:dyDescent="0.35">
      <c r="B4" s="4" t="s">
        <v>15</v>
      </c>
      <c r="C4" s="50" t="s">
        <v>555</v>
      </c>
      <c r="D4" s="50" t="s">
        <v>556</v>
      </c>
      <c r="E4" s="50" t="s">
        <v>557</v>
      </c>
      <c r="F4" s="50" t="s">
        <v>558</v>
      </c>
      <c r="G4" s="50" t="s">
        <v>559</v>
      </c>
      <c r="H4" s="50" t="s">
        <v>560</v>
      </c>
      <c r="M4" s="4" t="s">
        <v>15</v>
      </c>
      <c r="N4" s="50" t="s">
        <v>555</v>
      </c>
      <c r="O4" s="50" t="s">
        <v>556</v>
      </c>
      <c r="P4" s="50" t="s">
        <v>557</v>
      </c>
      <c r="Q4" s="50" t="s">
        <v>558</v>
      </c>
      <c r="R4" s="50" t="s">
        <v>559</v>
      </c>
      <c r="S4" s="50" t="s">
        <v>560</v>
      </c>
    </row>
    <row r="5" spans="2:37" x14ac:dyDescent="0.35">
      <c r="B5" s="5" t="s">
        <v>67</v>
      </c>
      <c r="C5" s="6" cm="1">
        <f t="array" ref="C5">SUM(SUMIFS(flu_group[flhcw],flu_group[staff_group],$B5,flu_group[season],"2025-2026",flu_group[trust_type],{"Ambulance","Specialist"}))</f>
        <v>814</v>
      </c>
      <c r="D5" s="6" cm="1">
        <f t="array" ref="D5">SUM(SUMIFS(flu_group[vve],flu_group[staff_group],$B5,flu_group[season],"2025-2026",flu_group[trust_type],{"Ambulance","Specialist"}))</f>
        <v>434</v>
      </c>
      <c r="E5" s="7">
        <f>D5/C5</f>
        <v>0.53316953316953319</v>
      </c>
      <c r="F5" s="6">
        <f>C5-D5</f>
        <v>380</v>
      </c>
      <c r="G5" s="7">
        <f>SUMIFS(flu_group[vve],flu_group[staff_group],$B5,flu_group[season],"2024-2025")/SUMIFS(flu_group[flhcw],flu_group[staff_group],$B5,flu_group[season],"2024-2025")</f>
        <v>0.3320970254432164</v>
      </c>
      <c r="H5" s="7">
        <f>E5-G5</f>
        <v>0.2010725077263168</v>
      </c>
      <c r="I5" s="2">
        <f>_xlfn.RANK.EQ(E5,$E$5:$E$13,0)</f>
        <v>3</v>
      </c>
      <c r="K5" s="2">
        <v>1</v>
      </c>
      <c r="M5" s="5" t="str">
        <f t="shared" ref="M5:S13" si="0">INDEX(B$5:B$13,MATCH($K5,$I$5:$I$13,0))</f>
        <v>Medical and Dental</v>
      </c>
      <c r="N5" s="6">
        <f t="shared" si="0"/>
        <v>2225</v>
      </c>
      <c r="O5" s="6">
        <f t="shared" si="0"/>
        <v>1317</v>
      </c>
      <c r="P5" s="7">
        <f t="shared" si="0"/>
        <v>0.5919101123595506</v>
      </c>
      <c r="Q5" s="6">
        <f t="shared" si="0"/>
        <v>908</v>
      </c>
      <c r="R5" s="7">
        <f t="shared" si="0"/>
        <v>0.42529121326877906</v>
      </c>
      <c r="S5" s="7">
        <f t="shared" si="0"/>
        <v>0.16661889909077154</v>
      </c>
      <c r="AI5" s="23"/>
      <c r="AJ5" s="23"/>
      <c r="AK5" s="24"/>
    </row>
    <row r="6" spans="2:37" x14ac:dyDescent="0.35">
      <c r="B6" s="5" t="s">
        <v>81</v>
      </c>
      <c r="C6" s="6" cm="1">
        <f t="array" ref="C6">SUM(SUMIFS(flu_group[flhcw],flu_group[staff_group],$B6,flu_group[season],"2025-2026",flu_group[trust_type],{"Ambulance","Specialist"}))</f>
        <v>2956</v>
      </c>
      <c r="D6" s="6" cm="1">
        <f t="array" ref="D6">SUM(SUMIFS(flu_group[vve],flu_group[staff_group],$B6,flu_group[season],"2025-2026",flu_group[trust_type],{"Ambulance","Specialist"}))</f>
        <v>1272</v>
      </c>
      <c r="E6" s="7">
        <f t="shared" ref="E6:E13" si="1">D6/C6</f>
        <v>0.43031123139377536</v>
      </c>
      <c r="F6" s="6">
        <f t="shared" ref="F6:F13" si="2">C6-D6</f>
        <v>1684</v>
      </c>
      <c r="G6" s="7">
        <f>SUMIFS(flu_group[vve],flu_group[staff_group],$B6,flu_group[season],"2024-2025")/SUMIFS(flu_group[flhcw],flu_group[staff_group],$B6,flu_group[season],"2024-2025")</f>
        <v>0.25437110769471299</v>
      </c>
      <c r="H6" s="7">
        <f t="shared" ref="H6:H13" si="3">E6-G6</f>
        <v>0.17594012369906237</v>
      </c>
      <c r="I6" s="2">
        <f t="shared" ref="I6:I13" si="4">_xlfn.RANK.EQ(E6,$E$5:$E$13,0)</f>
        <v>6</v>
      </c>
      <c r="K6" s="2">
        <v>2</v>
      </c>
      <c r="M6" s="5" t="str">
        <f t="shared" si="0"/>
        <v>Nursing and Midwifery Registered</v>
      </c>
      <c r="N6" s="6">
        <f t="shared" si="0"/>
        <v>3396</v>
      </c>
      <c r="O6" s="6">
        <f t="shared" si="0"/>
        <v>1829</v>
      </c>
      <c r="P6" s="7">
        <f t="shared" si="0"/>
        <v>0.53857479387514728</v>
      </c>
      <c r="Q6" s="6">
        <f t="shared" si="0"/>
        <v>1567</v>
      </c>
      <c r="R6" s="7">
        <f t="shared" si="0"/>
        <v>0.32728520240908743</v>
      </c>
      <c r="S6" s="7">
        <f t="shared" si="0"/>
        <v>0.21128959146605986</v>
      </c>
      <c r="AI6" s="23"/>
      <c r="AJ6" s="23"/>
      <c r="AK6" s="24"/>
    </row>
    <row r="7" spans="2:37" x14ac:dyDescent="0.35">
      <c r="B7" s="5" t="s">
        <v>46</v>
      </c>
      <c r="C7" s="6" cm="1">
        <f t="array" ref="C7">SUM(SUMIFS(flu_group[flhcw],flu_group[staff_group],$B7,flu_group[season],"2025-2026",flu_group[trust_type],{"Ambulance","Specialist"}))</f>
        <v>258</v>
      </c>
      <c r="D7" s="6" cm="1">
        <f t="array" ref="D7">SUM(SUMIFS(flu_group[vve],flu_group[staff_group],$B7,flu_group[season],"2025-2026",flu_group[trust_type],{"Ambulance","Specialist"}))</f>
        <v>104</v>
      </c>
      <c r="E7" s="7">
        <f t="shared" si="1"/>
        <v>0.40310077519379844</v>
      </c>
      <c r="F7" s="6">
        <f t="shared" si="2"/>
        <v>154</v>
      </c>
      <c r="G7" s="7">
        <f>SUMIFS(flu_group[vve],flu_group[staff_group],$B7,flu_group[season],"2024-2025")/SUMIFS(flu_group[flhcw],flu_group[staff_group],$B7,flu_group[season],"2024-2025")</f>
        <v>0.2689693183905934</v>
      </c>
      <c r="H7" s="7">
        <f t="shared" si="3"/>
        <v>0.13413145680320504</v>
      </c>
      <c r="I7" s="2">
        <f t="shared" si="4"/>
        <v>7</v>
      </c>
      <c r="K7" s="2">
        <v>3</v>
      </c>
      <c r="M7" s="5" t="str">
        <f t="shared" si="0"/>
        <v>Add Prof Scientific and Technic</v>
      </c>
      <c r="N7" s="6">
        <f t="shared" si="0"/>
        <v>814</v>
      </c>
      <c r="O7" s="6">
        <f t="shared" si="0"/>
        <v>434</v>
      </c>
      <c r="P7" s="7">
        <f t="shared" si="0"/>
        <v>0.53316953316953319</v>
      </c>
      <c r="Q7" s="6">
        <f t="shared" si="0"/>
        <v>380</v>
      </c>
      <c r="R7" s="7">
        <f t="shared" si="0"/>
        <v>0.3320970254432164</v>
      </c>
      <c r="S7" s="7">
        <f t="shared" si="0"/>
        <v>0.2010725077263168</v>
      </c>
      <c r="AI7" s="23"/>
      <c r="AJ7" s="23"/>
      <c r="AK7" s="24"/>
    </row>
    <row r="8" spans="2:37" x14ac:dyDescent="0.35">
      <c r="B8" s="5" t="s">
        <v>60</v>
      </c>
      <c r="C8" s="6" cm="1">
        <f t="array" ref="C8">SUM(SUMIFS(flu_group[flhcw],flu_group[staff_group],$B8,flu_group[season],"2025-2026",flu_group[trust_type],{"Ambulance","Specialist"}))</f>
        <v>3059</v>
      </c>
      <c r="D8" s="6" cm="1">
        <f t="array" ref="D8">SUM(SUMIFS(flu_group[vve],flu_group[staff_group],$B8,flu_group[season],"2025-2026",flu_group[trust_type],{"Ambulance","Specialist"}))</f>
        <v>1622</v>
      </c>
      <c r="E8" s="7">
        <f t="shared" si="1"/>
        <v>0.530238640078457</v>
      </c>
      <c r="F8" s="6">
        <f t="shared" si="2"/>
        <v>1437</v>
      </c>
      <c r="G8" s="7">
        <f>SUMIFS(flu_group[vve],flu_group[staff_group],$B8,flu_group[season],"2024-2025")/SUMIFS(flu_group[flhcw],flu_group[staff_group],$B8,flu_group[season],"2024-2025")</f>
        <v>0.36993943257889705</v>
      </c>
      <c r="H8" s="7">
        <f t="shared" si="3"/>
        <v>0.16029920749955995</v>
      </c>
      <c r="I8" s="2">
        <f t="shared" si="4"/>
        <v>4</v>
      </c>
      <c r="K8" s="2">
        <v>4</v>
      </c>
      <c r="M8" s="5" t="str">
        <f t="shared" si="0"/>
        <v>Allied Health Professionals</v>
      </c>
      <c r="N8" s="6">
        <f t="shared" si="0"/>
        <v>3059</v>
      </c>
      <c r="O8" s="6">
        <f t="shared" si="0"/>
        <v>1622</v>
      </c>
      <c r="P8" s="7">
        <f t="shared" si="0"/>
        <v>0.530238640078457</v>
      </c>
      <c r="Q8" s="6">
        <f t="shared" si="0"/>
        <v>1437</v>
      </c>
      <c r="R8" s="7">
        <f t="shared" si="0"/>
        <v>0.36993943257889705</v>
      </c>
      <c r="S8" s="7">
        <f t="shared" si="0"/>
        <v>0.16029920749955995</v>
      </c>
      <c r="AI8" s="23"/>
      <c r="AJ8" s="23"/>
      <c r="AK8" s="24"/>
    </row>
    <row r="9" spans="2:37" x14ac:dyDescent="0.35">
      <c r="B9" s="5" t="s">
        <v>28</v>
      </c>
      <c r="C9" s="6" cm="1">
        <f t="array" ref="C9">SUM(SUMIFS(flu_group[flhcw],flu_group[staff_group],$B9,flu_group[season],"2025-2026",flu_group[trust_type],{"Ambulance","Specialist"}))</f>
        <v>606</v>
      </c>
      <c r="D9" s="6" cm="1">
        <f t="array" ref="D9">SUM(SUMIFS(flu_group[vve],flu_group[staff_group],$B9,flu_group[season],"2025-2026",flu_group[trust_type],{"Ambulance","Specialist"}))</f>
        <v>193</v>
      </c>
      <c r="E9" s="7">
        <f t="shared" si="1"/>
        <v>0.31848184818481851</v>
      </c>
      <c r="F9" s="6">
        <f t="shared" si="2"/>
        <v>413</v>
      </c>
      <c r="G9" s="7">
        <f>SUMIFS(flu_group[vve],flu_group[staff_group],$B9,flu_group[season],"2024-2025")/SUMIFS(flu_group[flhcw],flu_group[staff_group],$B9,flu_group[season],"2024-2025")</f>
        <v>0.25817675713291582</v>
      </c>
      <c r="H9" s="7">
        <f t="shared" si="3"/>
        <v>6.0305091051902682E-2</v>
      </c>
      <c r="I9" s="2">
        <f t="shared" si="4"/>
        <v>8</v>
      </c>
      <c r="K9" s="2">
        <v>5</v>
      </c>
      <c r="M9" s="5" t="str">
        <f t="shared" si="0"/>
        <v>Healthcare Scientists</v>
      </c>
      <c r="N9" s="6">
        <f t="shared" si="0"/>
        <v>565</v>
      </c>
      <c r="O9" s="6">
        <f t="shared" si="0"/>
        <v>280</v>
      </c>
      <c r="P9" s="7">
        <f t="shared" si="0"/>
        <v>0.49557522123893805</v>
      </c>
      <c r="Q9" s="6">
        <f t="shared" si="0"/>
        <v>285</v>
      </c>
      <c r="R9" s="7">
        <f t="shared" si="0"/>
        <v>0.36815345504968799</v>
      </c>
      <c r="S9" s="7">
        <f t="shared" si="0"/>
        <v>0.12742176618925005</v>
      </c>
      <c r="AI9" s="23"/>
      <c r="AJ9" s="23"/>
      <c r="AK9" s="24"/>
    </row>
    <row r="10" spans="2:37" x14ac:dyDescent="0.35">
      <c r="B10" s="5" t="s">
        <v>74</v>
      </c>
      <c r="C10" s="6" cm="1">
        <f t="array" ref="C10">SUM(SUMIFS(flu_group[flhcw],flu_group[staff_group],$B10,flu_group[season],"2025-2026",flu_group[trust_type],{"Ambulance","Specialist"}))</f>
        <v>565</v>
      </c>
      <c r="D10" s="6" cm="1">
        <f t="array" ref="D10">SUM(SUMIFS(flu_group[vve],flu_group[staff_group],$B10,flu_group[season],"2025-2026",flu_group[trust_type],{"Ambulance","Specialist"}))</f>
        <v>280</v>
      </c>
      <c r="E10" s="7">
        <f t="shared" si="1"/>
        <v>0.49557522123893805</v>
      </c>
      <c r="F10" s="6">
        <f t="shared" si="2"/>
        <v>285</v>
      </c>
      <c r="G10" s="7">
        <f>SUMIFS(flu_group[vve],flu_group[staff_group],$B10,flu_group[season],"2024-2025")/SUMIFS(flu_group[flhcw],flu_group[staff_group],$B10,flu_group[season],"2024-2025")</f>
        <v>0.36815345504968799</v>
      </c>
      <c r="H10" s="7">
        <f t="shared" si="3"/>
        <v>0.12742176618925005</v>
      </c>
      <c r="I10" s="2">
        <f t="shared" si="4"/>
        <v>5</v>
      </c>
      <c r="K10" s="2">
        <v>6</v>
      </c>
      <c r="M10" s="5" t="str">
        <f t="shared" si="0"/>
        <v>Additional Clinical Services</v>
      </c>
      <c r="N10" s="6">
        <f t="shared" si="0"/>
        <v>2956</v>
      </c>
      <c r="O10" s="6">
        <f t="shared" si="0"/>
        <v>1272</v>
      </c>
      <c r="P10" s="7">
        <f t="shared" si="0"/>
        <v>0.43031123139377536</v>
      </c>
      <c r="Q10" s="6">
        <f t="shared" si="0"/>
        <v>1684</v>
      </c>
      <c r="R10" s="7">
        <f t="shared" si="0"/>
        <v>0.25437110769471299</v>
      </c>
      <c r="S10" s="7">
        <f t="shared" si="0"/>
        <v>0.17594012369906237</v>
      </c>
      <c r="AI10" s="23"/>
      <c r="AJ10" s="23"/>
      <c r="AK10" s="24"/>
    </row>
    <row r="11" spans="2:37" x14ac:dyDescent="0.35">
      <c r="B11" s="5" t="s">
        <v>42</v>
      </c>
      <c r="C11" s="6" cm="1">
        <f t="array" ref="C11">SUM(SUMIFS(flu_group[flhcw],flu_group[staff_group],$B11,flu_group[season],"2025-2026",flu_group[trust_type],{"Ambulance","Specialist"}))</f>
        <v>2225</v>
      </c>
      <c r="D11" s="6" cm="1">
        <f t="array" ref="D11">SUM(SUMIFS(flu_group[vve],flu_group[staff_group],$B11,flu_group[season],"2025-2026",flu_group[trust_type],{"Ambulance","Specialist"}))</f>
        <v>1317</v>
      </c>
      <c r="E11" s="7">
        <f t="shared" si="1"/>
        <v>0.5919101123595506</v>
      </c>
      <c r="F11" s="6">
        <f t="shared" si="2"/>
        <v>908</v>
      </c>
      <c r="G11" s="7">
        <f>SUMIFS(flu_group[vve],flu_group[staff_group],$B11,flu_group[season],"2024-2025")/SUMIFS(flu_group[flhcw],flu_group[staff_group],$B11,flu_group[season],"2024-2025")</f>
        <v>0.42529121326877906</v>
      </c>
      <c r="H11" s="7">
        <f t="shared" si="3"/>
        <v>0.16661889909077154</v>
      </c>
      <c r="I11" s="2">
        <f t="shared" si="4"/>
        <v>1</v>
      </c>
      <c r="K11" s="2">
        <v>7</v>
      </c>
      <c r="M11" s="5" t="str">
        <f t="shared" si="0"/>
        <v>Administrative and Clerical</v>
      </c>
      <c r="N11" s="6">
        <f t="shared" si="0"/>
        <v>258</v>
      </c>
      <c r="O11" s="6">
        <f t="shared" si="0"/>
        <v>104</v>
      </c>
      <c r="P11" s="7">
        <f t="shared" si="0"/>
        <v>0.40310077519379844</v>
      </c>
      <c r="Q11" s="6">
        <f t="shared" si="0"/>
        <v>154</v>
      </c>
      <c r="R11" s="7">
        <f t="shared" si="0"/>
        <v>0.2689693183905934</v>
      </c>
      <c r="S11" s="7">
        <f t="shared" si="0"/>
        <v>0.13413145680320504</v>
      </c>
      <c r="AI11" s="23"/>
      <c r="AJ11" s="23"/>
      <c r="AK11" s="24"/>
    </row>
    <row r="12" spans="2:37" x14ac:dyDescent="0.35">
      <c r="B12" s="5" t="s">
        <v>53</v>
      </c>
      <c r="C12" s="6" cm="1">
        <f t="array" ref="C12">SUM(SUMIFS(flu_group[flhcw],flu_group[staff_group],$B12,flu_group[season],"2025-2026",flu_group[trust_type],{"Ambulance","Specialist"}))</f>
        <v>3396</v>
      </c>
      <c r="D12" s="6" cm="1">
        <f t="array" ref="D12">SUM(SUMIFS(flu_group[vve],flu_group[staff_group],$B12,flu_group[season],"2025-2026",flu_group[trust_type],{"Ambulance","Specialist"}))</f>
        <v>1829</v>
      </c>
      <c r="E12" s="7">
        <f t="shared" si="1"/>
        <v>0.53857479387514728</v>
      </c>
      <c r="F12" s="6">
        <f t="shared" si="2"/>
        <v>1567</v>
      </c>
      <c r="G12" s="7">
        <f>SUMIFS(flu_group[vve],flu_group[staff_group],$B12,flu_group[season],"2024-2025")/SUMIFS(flu_group[flhcw],flu_group[staff_group],$B12,flu_group[season],"2024-2025")</f>
        <v>0.32728520240908743</v>
      </c>
      <c r="H12" s="7">
        <f t="shared" si="3"/>
        <v>0.21128959146605986</v>
      </c>
      <c r="I12" s="2">
        <f t="shared" si="4"/>
        <v>2</v>
      </c>
      <c r="K12" s="2">
        <v>8</v>
      </c>
      <c r="M12" s="5" t="str">
        <f t="shared" si="0"/>
        <v>Estates and Ancillary</v>
      </c>
      <c r="N12" s="6">
        <f t="shared" si="0"/>
        <v>606</v>
      </c>
      <c r="O12" s="6">
        <f t="shared" si="0"/>
        <v>193</v>
      </c>
      <c r="P12" s="7">
        <f t="shared" si="0"/>
        <v>0.31848184818481851</v>
      </c>
      <c r="Q12" s="6">
        <f t="shared" si="0"/>
        <v>413</v>
      </c>
      <c r="R12" s="7">
        <f t="shared" si="0"/>
        <v>0.25817675713291582</v>
      </c>
      <c r="S12" s="7">
        <f t="shared" si="0"/>
        <v>6.0305091051902682E-2</v>
      </c>
      <c r="AI12" s="23"/>
      <c r="AJ12" s="23"/>
      <c r="AK12" s="24"/>
    </row>
    <row r="13" spans="2:37" x14ac:dyDescent="0.35">
      <c r="B13" s="5" t="s">
        <v>35</v>
      </c>
      <c r="C13" s="6" cm="1">
        <f t="array" ref="C13">SUM(SUMIFS(flu_group[flhcw],flu_group[staff_group],$B13,flu_group[season],"2025-2026",flu_group[trust_type],{"Ambulance","Specialist"}))</f>
        <v>10</v>
      </c>
      <c r="D13" s="6" cm="1">
        <f t="array" ref="D13">SUM(SUMIFS(flu_group[vve],flu_group[staff_group],$B13,flu_group[season],"2025-2026",flu_group[trust_type],{"Ambulance","Specialist"}))</f>
        <v>3</v>
      </c>
      <c r="E13" s="7">
        <f t="shared" si="1"/>
        <v>0.3</v>
      </c>
      <c r="F13" s="6">
        <f t="shared" si="2"/>
        <v>7</v>
      </c>
      <c r="G13" s="7">
        <f>SUMIFS(flu_group[vve],flu_group[staff_group],$B13,flu_group[season],"2024-2025")/SUMIFS(flu_group[flhcw],flu_group[staff_group],$B13,flu_group[season],"2024-2025")</f>
        <v>0.20279720279720279</v>
      </c>
      <c r="H13" s="7">
        <f t="shared" si="3"/>
        <v>9.7202797202797203E-2</v>
      </c>
      <c r="I13" s="2">
        <f t="shared" si="4"/>
        <v>9</v>
      </c>
      <c r="K13" s="2">
        <v>9</v>
      </c>
      <c r="M13" s="5" t="str">
        <f t="shared" si="0"/>
        <v>Students</v>
      </c>
      <c r="N13" s="6">
        <f t="shared" si="0"/>
        <v>10</v>
      </c>
      <c r="O13" s="6">
        <f t="shared" si="0"/>
        <v>3</v>
      </c>
      <c r="P13" s="7">
        <f t="shared" si="0"/>
        <v>0.3</v>
      </c>
      <c r="Q13" s="6">
        <f t="shared" si="0"/>
        <v>7</v>
      </c>
      <c r="R13" s="7">
        <f t="shared" si="0"/>
        <v>0.20279720279720279</v>
      </c>
      <c r="S13" s="7">
        <f t="shared" si="0"/>
        <v>9.7202797202797203E-2</v>
      </c>
      <c r="AI13" s="23"/>
      <c r="AJ13" s="23"/>
      <c r="AK13" s="24"/>
    </row>
    <row r="14" spans="2:37" x14ac:dyDescent="0.35">
      <c r="AJ14"/>
    </row>
    <row r="15" spans="2:37" ht="36.65" customHeight="1" x14ac:dyDescent="0.35">
      <c r="B15" s="4" t="s">
        <v>15</v>
      </c>
      <c r="C15" s="50" t="s">
        <v>606</v>
      </c>
      <c r="D15" s="50" t="s">
        <v>540</v>
      </c>
      <c r="E15" s="50" t="s">
        <v>541</v>
      </c>
      <c r="M15" s="4" t="s">
        <v>17</v>
      </c>
      <c r="N15" s="50" t="s">
        <v>606</v>
      </c>
      <c r="O15" s="50" t="s">
        <v>540</v>
      </c>
      <c r="P15" s="50" t="s">
        <v>541</v>
      </c>
      <c r="AD15"/>
    </row>
    <row r="16" spans="2:37" x14ac:dyDescent="0.35">
      <c r="B16" s="5" t="s">
        <v>68</v>
      </c>
      <c r="C16" s="6" cm="1">
        <f t="array" ref="C16">SUM(SUMIFS(flu_eth_ep[fl_staff],flu_eth_ep[Ethnicity],$B16,flu_eth_ep[trust_type],{"Ambulance","Specialist"}))</f>
        <v>7047</v>
      </c>
      <c r="D16" s="6" cm="1">
        <f t="array" ref="D16">SUM(SUMIFS(flu_eth_ep[fl_doses],flu_eth_ep[Ethnicity],$B16,flu_eth_ep[trust_type],{"Ambulance","Specialist"}))</f>
        <v>4098</v>
      </c>
      <c r="E16" s="7">
        <f>D16/C16</f>
        <v>0.58152405278842056</v>
      </c>
      <c r="I16" s="2">
        <f>_xlfn.RANK.EQ(E16,$E$16:$E$32,0)</f>
        <v>2</v>
      </c>
      <c r="K16" s="2">
        <v>1</v>
      </c>
      <c r="M16" s="5" t="str">
        <f>INDEX(B$16:B$32,MATCH($K16,$I$16:$I$32,0))</f>
        <v>F: Mixed - White and Asian</v>
      </c>
      <c r="N16" s="6">
        <f>INDEX(C$16:C$32,MATCH($K16,$I$16:$I$32,0))</f>
        <v>129</v>
      </c>
      <c r="O16" s="6">
        <f>INDEX(D$16:D$32,MATCH($K16,$I$16:$I$32,0))</f>
        <v>87</v>
      </c>
      <c r="P16" s="7">
        <f>INDEX(E$16:E$32,MATCH($K16,$I$16:$I$32,0))</f>
        <v>0.67441860465116277</v>
      </c>
      <c r="AD16"/>
    </row>
    <row r="17" spans="2:30" x14ac:dyDescent="0.35">
      <c r="B17" s="5" t="s">
        <v>135</v>
      </c>
      <c r="C17" s="6" cm="1">
        <f t="array" ref="C17">SUM(SUMIFS(flu_eth_ep[fl_staff],flu_eth_ep[Ethnicity],$B17,flu_eth_ep[trust_type],{"Ambulance","Specialist"}))</f>
        <v>309</v>
      </c>
      <c r="D17" s="6" cm="1">
        <f t="array" ref="D17">SUM(SUMIFS(flu_eth_ep[fl_doses],flu_eth_ep[Ethnicity],$B17,flu_eth_ep[trust_type],{"Ambulance","Specialist"}))</f>
        <v>166</v>
      </c>
      <c r="E17" s="7">
        <f t="shared" ref="E17:E32" si="5">D17/C17</f>
        <v>0.53721682847896435</v>
      </c>
      <c r="I17" s="2">
        <f t="shared" ref="I17:I32" si="6">_xlfn.RANK.EQ(E17,$E$16:$E$32,0)</f>
        <v>3</v>
      </c>
      <c r="K17" s="2">
        <v>2</v>
      </c>
      <c r="M17" s="5" t="str">
        <f t="shared" ref="M17:P32" si="7">INDEX(B$16:B$32,MATCH($K17,$I$16:$I$32,0))</f>
        <v>A: White - British</v>
      </c>
      <c r="N17" s="6">
        <f t="shared" si="7"/>
        <v>7047</v>
      </c>
      <c r="O17" s="6">
        <f t="shared" si="7"/>
        <v>4098</v>
      </c>
      <c r="P17" s="7">
        <f t="shared" si="7"/>
        <v>0.58152405278842056</v>
      </c>
      <c r="AD17"/>
    </row>
    <row r="18" spans="2:30" x14ac:dyDescent="0.35">
      <c r="B18" s="5" t="s">
        <v>607</v>
      </c>
      <c r="C18" s="6" cm="1">
        <f t="array" ref="C18">SUM(SUMIFS(flu_eth_ep[fl_staff],flu_eth_ep[Ethnicity],$B18,flu_eth_ep[trust_type],{"Ambulance","Specialist"}))</f>
        <v>2097</v>
      </c>
      <c r="D18" s="6" cm="1">
        <f t="array" ref="D18">SUM(SUMIFS(flu_eth_ep[fl_doses],flu_eth_ep[Ethnicity],$B18,flu_eth_ep[trust_type],{"Ambulance","Specialist"}))</f>
        <v>991</v>
      </c>
      <c r="E18" s="7">
        <f t="shared" si="5"/>
        <v>0.47257987601335238</v>
      </c>
      <c r="I18" s="2">
        <f t="shared" si="6"/>
        <v>7</v>
      </c>
      <c r="K18" s="2">
        <v>3</v>
      </c>
      <c r="M18" s="5" t="str">
        <f t="shared" si="7"/>
        <v>B: White - Irish</v>
      </c>
      <c r="N18" s="6">
        <f t="shared" si="7"/>
        <v>309</v>
      </c>
      <c r="O18" s="6">
        <f t="shared" si="7"/>
        <v>166</v>
      </c>
      <c r="P18" s="7">
        <f t="shared" si="7"/>
        <v>0.53721682847896435</v>
      </c>
      <c r="AD18"/>
    </row>
    <row r="19" spans="2:30" x14ac:dyDescent="0.35">
      <c r="B19" s="5" t="s">
        <v>129</v>
      </c>
      <c r="C19" s="6" cm="1">
        <f t="array" ref="C19">SUM(SUMIFS(flu_eth_ep[fl_staff],flu_eth_ep[Ethnicity],$B19,flu_eth_ep[trust_type],{"Ambulance","Specialist"}))</f>
        <v>69</v>
      </c>
      <c r="D19" s="6" cm="1">
        <f t="array" ref="D19">SUM(SUMIFS(flu_eth_ep[fl_doses],flu_eth_ep[Ethnicity],$B19,flu_eth_ep[trust_type],{"Ambulance","Specialist"}))</f>
        <v>24</v>
      </c>
      <c r="E19" s="7">
        <f t="shared" si="5"/>
        <v>0.34782608695652173</v>
      </c>
      <c r="I19" s="2">
        <f t="shared" si="6"/>
        <v>12</v>
      </c>
      <c r="K19" s="2">
        <v>4</v>
      </c>
      <c r="M19" s="5" t="str">
        <f t="shared" si="7"/>
        <v>R: Other ethnic groups - Chinese</v>
      </c>
      <c r="N19" s="6">
        <f t="shared" si="7"/>
        <v>254</v>
      </c>
      <c r="O19" s="6">
        <f t="shared" si="7"/>
        <v>131</v>
      </c>
      <c r="P19" s="7">
        <f t="shared" si="7"/>
        <v>0.51574803149606296</v>
      </c>
      <c r="AD19"/>
    </row>
    <row r="20" spans="2:30" x14ac:dyDescent="0.35">
      <c r="B20" s="5" t="s">
        <v>47</v>
      </c>
      <c r="C20" s="6" cm="1">
        <f t="array" ref="C20">SUM(SUMIFS(flu_eth_ep[fl_staff],flu_eth_ep[Ethnicity],$B20,flu_eth_ep[trust_type],{"Ambulance","Specialist"}))</f>
        <v>110</v>
      </c>
      <c r="D20" s="6" cm="1">
        <f t="array" ref="D20">SUM(SUMIFS(flu_eth_ep[fl_doses],flu_eth_ep[Ethnicity],$B20,flu_eth_ep[trust_type],{"Ambulance","Specialist"}))</f>
        <v>38</v>
      </c>
      <c r="E20" s="7">
        <f t="shared" si="5"/>
        <v>0.34545454545454546</v>
      </c>
      <c r="I20" s="2">
        <f t="shared" si="6"/>
        <v>13</v>
      </c>
      <c r="K20" s="2">
        <v>5</v>
      </c>
      <c r="M20" s="5" t="str">
        <f t="shared" si="7"/>
        <v>L: Asian or Asian British - Any other Asian background</v>
      </c>
      <c r="N20" s="6">
        <f t="shared" si="7"/>
        <v>1311</v>
      </c>
      <c r="O20" s="6">
        <f t="shared" si="7"/>
        <v>659</v>
      </c>
      <c r="P20" s="7">
        <f t="shared" si="7"/>
        <v>0.50266971777269265</v>
      </c>
      <c r="AD20"/>
    </row>
    <row r="21" spans="2:30" x14ac:dyDescent="0.35">
      <c r="B21" s="5" t="s">
        <v>94</v>
      </c>
      <c r="C21" s="6" cm="1">
        <f t="array" ref="C21">SUM(SUMIFS(flu_eth_ep[fl_staff],flu_eth_ep[Ethnicity],$B21,flu_eth_ep[trust_type],{"Ambulance","Specialist"}))</f>
        <v>129</v>
      </c>
      <c r="D21" s="6" cm="1">
        <f t="array" ref="D21">SUM(SUMIFS(flu_eth_ep[fl_doses],flu_eth_ep[Ethnicity],$B21,flu_eth_ep[trust_type],{"Ambulance","Specialist"}))</f>
        <v>87</v>
      </c>
      <c r="E21" s="7">
        <f t="shared" si="5"/>
        <v>0.67441860465116277</v>
      </c>
      <c r="I21" s="2">
        <f t="shared" si="6"/>
        <v>1</v>
      </c>
      <c r="K21" s="2">
        <v>6</v>
      </c>
      <c r="M21" s="5" t="str">
        <f t="shared" si="7"/>
        <v>X: Unknown</v>
      </c>
      <c r="N21" s="6">
        <f t="shared" si="7"/>
        <v>1084</v>
      </c>
      <c r="O21" s="6">
        <f t="shared" si="7"/>
        <v>515</v>
      </c>
      <c r="P21" s="7">
        <f t="shared" si="7"/>
        <v>0.47509225092250923</v>
      </c>
      <c r="AD21"/>
    </row>
    <row r="22" spans="2:30" x14ac:dyDescent="0.35">
      <c r="B22" s="5" t="s">
        <v>608</v>
      </c>
      <c r="C22" s="6" cm="1">
        <f t="array" ref="C22">SUM(SUMIFS(flu_eth_ep[fl_staff],flu_eth_ep[Ethnicity],$B22,flu_eth_ep[trust_type],{"Ambulance","Specialist"}))</f>
        <v>287</v>
      </c>
      <c r="D22" s="6" cm="1">
        <f t="array" ref="D22">SUM(SUMIFS(flu_eth_ep[fl_doses],flu_eth_ep[Ethnicity],$B22,flu_eth_ep[trust_type],{"Ambulance","Specialist"}))</f>
        <v>120</v>
      </c>
      <c r="E22" s="7">
        <f t="shared" si="5"/>
        <v>0.41811846689895471</v>
      </c>
      <c r="I22" s="2">
        <f t="shared" si="6"/>
        <v>10</v>
      </c>
      <c r="K22" s="2">
        <v>7</v>
      </c>
      <c r="M22" s="5" t="str">
        <f t="shared" si="7"/>
        <v>C: White - Any other White background</v>
      </c>
      <c r="N22" s="6">
        <f t="shared" si="7"/>
        <v>2097</v>
      </c>
      <c r="O22" s="6">
        <f t="shared" si="7"/>
        <v>991</v>
      </c>
      <c r="P22" s="7">
        <f t="shared" si="7"/>
        <v>0.47257987601335238</v>
      </c>
      <c r="AD22"/>
    </row>
    <row r="23" spans="2:30" x14ac:dyDescent="0.35">
      <c r="B23" s="5" t="s">
        <v>123</v>
      </c>
      <c r="C23" s="6" cm="1">
        <f t="array" ref="C23">SUM(SUMIFS(flu_eth_ep[fl_staff],flu_eth_ep[Ethnicity],$B23,flu_eth_ep[trust_type],{"Ambulance","Specialist"}))</f>
        <v>1131</v>
      </c>
      <c r="D23" s="6" cm="1">
        <f t="array" ref="D23">SUM(SUMIFS(flu_eth_ep[fl_doses],flu_eth_ep[Ethnicity],$B23,flu_eth_ep[trust_type],{"Ambulance","Specialist"}))</f>
        <v>519</v>
      </c>
      <c r="E23" s="7">
        <f t="shared" si="5"/>
        <v>0.45888594164456231</v>
      </c>
      <c r="I23" s="2">
        <f t="shared" si="6"/>
        <v>8</v>
      </c>
      <c r="K23" s="2">
        <v>8</v>
      </c>
      <c r="M23" s="5" t="str">
        <f t="shared" si="7"/>
        <v>H: Asian or Asian British - Indian</v>
      </c>
      <c r="N23" s="6">
        <f t="shared" si="7"/>
        <v>1131</v>
      </c>
      <c r="O23" s="6">
        <f t="shared" si="7"/>
        <v>519</v>
      </c>
      <c r="P23" s="7">
        <f t="shared" si="7"/>
        <v>0.45888594164456231</v>
      </c>
      <c r="AD23"/>
    </row>
    <row r="24" spans="2:30" x14ac:dyDescent="0.35">
      <c r="B24" s="5" t="s">
        <v>82</v>
      </c>
      <c r="C24" s="6" cm="1">
        <f t="array" ref="C24">SUM(SUMIFS(flu_eth_ep[fl_staff],flu_eth_ep[Ethnicity],$B24,flu_eth_ep[trust_type],{"Ambulance","Specialist"}))</f>
        <v>262</v>
      </c>
      <c r="D24" s="6" cm="1">
        <f t="array" ref="D24">SUM(SUMIFS(flu_eth_ep[fl_doses],flu_eth_ep[Ethnicity],$B24,flu_eth_ep[trust_type],{"Ambulance","Specialist"}))</f>
        <v>93</v>
      </c>
      <c r="E24" s="7">
        <f t="shared" si="5"/>
        <v>0.35496183206106868</v>
      </c>
      <c r="I24" s="2">
        <f t="shared" si="6"/>
        <v>11</v>
      </c>
      <c r="K24" s="2">
        <v>9</v>
      </c>
      <c r="M24" s="5" t="str">
        <f t="shared" si="7"/>
        <v>S: Other ethnic groups - Any other ethnic group</v>
      </c>
      <c r="N24" s="6">
        <f t="shared" si="7"/>
        <v>1034</v>
      </c>
      <c r="O24" s="6">
        <f t="shared" si="7"/>
        <v>473</v>
      </c>
      <c r="P24" s="7">
        <f t="shared" si="7"/>
        <v>0.45744680851063829</v>
      </c>
      <c r="AD24"/>
    </row>
    <row r="25" spans="2:30" x14ac:dyDescent="0.35">
      <c r="B25" s="5" t="s">
        <v>88</v>
      </c>
      <c r="C25" s="6" cm="1">
        <f t="array" ref="C25">SUM(SUMIFS(flu_eth_ep[fl_staff],flu_eth_ep[Ethnicity],$B25,flu_eth_ep[trust_type],{"Ambulance","Specialist"}))</f>
        <v>265</v>
      </c>
      <c r="D25" s="6" cm="1">
        <f t="array" ref="D25">SUM(SUMIFS(flu_eth_ep[fl_doses],flu_eth_ep[Ethnicity],$B25,flu_eth_ep[trust_type],{"Ambulance","Specialist"}))</f>
        <v>81</v>
      </c>
      <c r="E25" s="7">
        <f t="shared" si="5"/>
        <v>0.30566037735849055</v>
      </c>
      <c r="I25" s="2">
        <f t="shared" si="6"/>
        <v>16</v>
      </c>
      <c r="K25" s="2">
        <v>10</v>
      </c>
      <c r="M25" s="5" t="str">
        <f t="shared" si="7"/>
        <v>G: Mixed - Any other Mixed background</v>
      </c>
      <c r="N25" s="6">
        <f t="shared" si="7"/>
        <v>287</v>
      </c>
      <c r="O25" s="6">
        <f t="shared" si="7"/>
        <v>120</v>
      </c>
      <c r="P25" s="7">
        <f t="shared" si="7"/>
        <v>0.41811846689895471</v>
      </c>
      <c r="AD25"/>
    </row>
    <row r="26" spans="2:30" x14ac:dyDescent="0.35">
      <c r="B26" s="5" t="s">
        <v>141</v>
      </c>
      <c r="C26" s="6" cm="1">
        <f t="array" ref="C26">SUM(SUMIFS(flu_eth_ep[fl_staff],flu_eth_ep[Ethnicity],$B26,flu_eth_ep[trust_type],{"Ambulance","Specialist"}))</f>
        <v>1311</v>
      </c>
      <c r="D26" s="6" cm="1">
        <f t="array" ref="D26">SUM(SUMIFS(flu_eth_ep[fl_doses],flu_eth_ep[Ethnicity],$B26,flu_eth_ep[trust_type],{"Ambulance","Specialist"}))</f>
        <v>659</v>
      </c>
      <c r="E26" s="7">
        <f t="shared" si="5"/>
        <v>0.50266971777269265</v>
      </c>
      <c r="I26" s="2">
        <f t="shared" si="6"/>
        <v>5</v>
      </c>
      <c r="K26" s="2">
        <v>11</v>
      </c>
      <c r="M26" s="5" t="str">
        <f t="shared" si="7"/>
        <v>J: Asian or Asian British - Pakistani</v>
      </c>
      <c r="N26" s="6">
        <f t="shared" si="7"/>
        <v>262</v>
      </c>
      <c r="O26" s="6">
        <f t="shared" si="7"/>
        <v>93</v>
      </c>
      <c r="P26" s="7">
        <f t="shared" si="7"/>
        <v>0.35496183206106868</v>
      </c>
      <c r="AD26"/>
    </row>
    <row r="27" spans="2:30" x14ac:dyDescent="0.35">
      <c r="B27" s="5" t="s">
        <v>61</v>
      </c>
      <c r="C27" s="6" cm="1">
        <f t="array" ref="C27">SUM(SUMIFS(flu_eth_ep[fl_staff],flu_eth_ep[Ethnicity],$B27,flu_eth_ep[trust_type],{"Ambulance","Specialist"}))</f>
        <v>299</v>
      </c>
      <c r="D27" s="6" cm="1">
        <f t="array" ref="D27">SUM(SUMIFS(flu_eth_ep[fl_doses],flu_eth_ep[Ethnicity],$B27,flu_eth_ep[trust_type],{"Ambulance","Specialist"}))</f>
        <v>71</v>
      </c>
      <c r="E27" s="7">
        <f t="shared" si="5"/>
        <v>0.23745819397993312</v>
      </c>
      <c r="I27" s="2">
        <f t="shared" si="6"/>
        <v>17</v>
      </c>
      <c r="K27" s="2">
        <v>12</v>
      </c>
      <c r="M27" s="5" t="str">
        <f t="shared" si="7"/>
        <v>D: Mixed - White and Black Caribbean</v>
      </c>
      <c r="N27" s="6">
        <f t="shared" si="7"/>
        <v>69</v>
      </c>
      <c r="O27" s="6">
        <f t="shared" si="7"/>
        <v>24</v>
      </c>
      <c r="P27" s="7">
        <f t="shared" si="7"/>
        <v>0.34782608695652173</v>
      </c>
      <c r="AD27"/>
    </row>
    <row r="28" spans="2:30" x14ac:dyDescent="0.35">
      <c r="B28" s="5" t="s">
        <v>100</v>
      </c>
      <c r="C28" s="6" cm="1">
        <f t="array" ref="C28">SUM(SUMIFS(flu_eth_ep[fl_staff],flu_eth_ep[Ethnicity],$B28,flu_eth_ep[trust_type],{"Ambulance","Specialist"}))</f>
        <v>1190</v>
      </c>
      <c r="D28" s="6" cm="1">
        <f t="array" ref="D28">SUM(SUMIFS(flu_eth_ep[fl_doses],flu_eth_ep[Ethnicity],$B28,flu_eth_ep[trust_type],{"Ambulance","Specialist"}))</f>
        <v>378</v>
      </c>
      <c r="E28" s="7">
        <f t="shared" si="5"/>
        <v>0.31764705882352939</v>
      </c>
      <c r="I28" s="2">
        <f t="shared" si="6"/>
        <v>15</v>
      </c>
      <c r="K28" s="2">
        <v>13</v>
      </c>
      <c r="M28" s="5" t="str">
        <f t="shared" si="7"/>
        <v>E: Mixed - White and Black African</v>
      </c>
      <c r="N28" s="6">
        <f t="shared" si="7"/>
        <v>110</v>
      </c>
      <c r="O28" s="6">
        <f t="shared" si="7"/>
        <v>38</v>
      </c>
      <c r="P28" s="7">
        <f t="shared" si="7"/>
        <v>0.34545454545454546</v>
      </c>
      <c r="AD28"/>
    </row>
    <row r="29" spans="2:30" x14ac:dyDescent="0.35">
      <c r="B29" s="5" t="s">
        <v>75</v>
      </c>
      <c r="C29" s="6" cm="1">
        <f t="array" ref="C29">SUM(SUMIFS(flu_eth_ep[fl_staff],flu_eth_ep[Ethnicity],$B29,flu_eth_ep[trust_type],{"Ambulance","Specialist"}))</f>
        <v>327</v>
      </c>
      <c r="D29" s="6" cm="1">
        <f t="array" ref="D29">SUM(SUMIFS(flu_eth_ep[fl_doses],flu_eth_ep[Ethnicity],$B29,flu_eth_ep[trust_type],{"Ambulance","Specialist"}))</f>
        <v>105</v>
      </c>
      <c r="E29" s="7">
        <f t="shared" si="5"/>
        <v>0.32110091743119268</v>
      </c>
      <c r="I29" s="2">
        <f t="shared" si="6"/>
        <v>14</v>
      </c>
      <c r="K29" s="2">
        <v>14</v>
      </c>
      <c r="M29" s="5" t="str">
        <f t="shared" si="7"/>
        <v>P: Black or Black British - Any other Black background</v>
      </c>
      <c r="N29" s="6">
        <f t="shared" si="7"/>
        <v>327</v>
      </c>
      <c r="O29" s="6">
        <f t="shared" si="7"/>
        <v>105</v>
      </c>
      <c r="P29" s="7">
        <f t="shared" si="7"/>
        <v>0.32110091743119268</v>
      </c>
      <c r="AD29"/>
    </row>
    <row r="30" spans="2:30" x14ac:dyDescent="0.35">
      <c r="B30" s="5" t="s">
        <v>106</v>
      </c>
      <c r="C30" s="6" cm="1">
        <f t="array" ref="C30">SUM(SUMIFS(flu_eth_ep[fl_staff],flu_eth_ep[Ethnicity],$B30,flu_eth_ep[trust_type],{"Ambulance","Specialist"}))</f>
        <v>254</v>
      </c>
      <c r="D30" s="6" cm="1">
        <f t="array" ref="D30">SUM(SUMIFS(flu_eth_ep[fl_doses],flu_eth_ep[Ethnicity],$B30,flu_eth_ep[trust_type],{"Ambulance","Specialist"}))</f>
        <v>131</v>
      </c>
      <c r="E30" s="7">
        <f t="shared" si="5"/>
        <v>0.51574803149606296</v>
      </c>
      <c r="I30" s="2">
        <f t="shared" si="6"/>
        <v>4</v>
      </c>
      <c r="K30" s="2">
        <v>15</v>
      </c>
      <c r="M30" s="5" t="str">
        <f t="shared" si="7"/>
        <v>N: Black or Black British - African</v>
      </c>
      <c r="N30" s="6">
        <f t="shared" si="7"/>
        <v>1190</v>
      </c>
      <c r="O30" s="6">
        <f t="shared" si="7"/>
        <v>378</v>
      </c>
      <c r="P30" s="7">
        <f t="shared" si="7"/>
        <v>0.31764705882352939</v>
      </c>
      <c r="AD30"/>
    </row>
    <row r="31" spans="2:30" x14ac:dyDescent="0.35">
      <c r="B31" s="5" t="s">
        <v>112</v>
      </c>
      <c r="C31" s="6" cm="1">
        <f t="array" ref="C31">SUM(SUMIFS(flu_eth_ep[fl_staff],flu_eth_ep[Ethnicity],$B31,flu_eth_ep[trust_type],{"Ambulance","Specialist"}))</f>
        <v>1034</v>
      </c>
      <c r="D31" s="6" cm="1">
        <f t="array" ref="D31">SUM(SUMIFS(flu_eth_ep[fl_doses],flu_eth_ep[Ethnicity],$B31,flu_eth_ep[trust_type],{"Ambulance","Specialist"}))</f>
        <v>473</v>
      </c>
      <c r="E31" s="7">
        <f t="shared" si="5"/>
        <v>0.45744680851063829</v>
      </c>
      <c r="I31" s="2">
        <f t="shared" si="6"/>
        <v>9</v>
      </c>
      <c r="K31" s="2">
        <v>16</v>
      </c>
      <c r="M31" s="5" t="str">
        <f t="shared" si="7"/>
        <v>K: Asian or Asian British - Bangladeshi</v>
      </c>
      <c r="N31" s="6">
        <f t="shared" si="7"/>
        <v>265</v>
      </c>
      <c r="O31" s="6">
        <f t="shared" si="7"/>
        <v>81</v>
      </c>
      <c r="P31" s="7">
        <f t="shared" si="7"/>
        <v>0.30566037735849055</v>
      </c>
      <c r="AD31"/>
    </row>
    <row r="32" spans="2:30" x14ac:dyDescent="0.35">
      <c r="B32" s="5" t="s">
        <v>36</v>
      </c>
      <c r="C32" s="6" cm="1">
        <f t="array" ref="C32">SUM(SUMIFS(flu_eth_ep[fl_staff],flu_eth_ep[Ethnicity],$B32,flu_eth_ep[trust_type],{"Ambulance","Specialist"}))</f>
        <v>1084</v>
      </c>
      <c r="D32" s="6" cm="1">
        <f t="array" ref="D32">SUM(SUMIFS(flu_eth_ep[fl_doses],flu_eth_ep[Ethnicity],$B32,flu_eth_ep[trust_type],{"Ambulance","Specialist"}))</f>
        <v>515</v>
      </c>
      <c r="E32" s="7">
        <f t="shared" si="5"/>
        <v>0.47509225092250923</v>
      </c>
      <c r="I32" s="2">
        <f t="shared" si="6"/>
        <v>6</v>
      </c>
      <c r="K32" s="2">
        <v>17</v>
      </c>
      <c r="M32" s="5" t="str">
        <f t="shared" si="7"/>
        <v>M: Black or Black British - Caribbean</v>
      </c>
      <c r="N32" s="6">
        <f t="shared" si="7"/>
        <v>299</v>
      </c>
      <c r="O32" s="6">
        <f t="shared" si="7"/>
        <v>71</v>
      </c>
      <c r="P32" s="7">
        <f t="shared" si="7"/>
        <v>0.23745819397993312</v>
      </c>
      <c r="AD32"/>
    </row>
    <row r="33" spans="36:36" x14ac:dyDescent="0.35">
      <c r="AJ33"/>
    </row>
    <row r="34" spans="36:36" x14ac:dyDescent="0.35">
      <c r="AJ34"/>
    </row>
    <row r="35" spans="36:36" x14ac:dyDescent="0.35">
      <c r="AJ35"/>
    </row>
    <row r="36" spans="36:36" x14ac:dyDescent="0.35">
      <c r="AJ36"/>
    </row>
    <row r="37" spans="36:36" x14ac:dyDescent="0.35">
      <c r="AJ37"/>
    </row>
    <row r="38" spans="36:36" x14ac:dyDescent="0.35">
      <c r="AJ38"/>
    </row>
    <row r="39" spans="36:36" x14ac:dyDescent="0.35">
      <c r="AJ39"/>
    </row>
    <row r="40" spans="36:36" x14ac:dyDescent="0.35">
      <c r="AJ40"/>
    </row>
    <row r="41" spans="36:36" x14ac:dyDescent="0.35">
      <c r="AJ41"/>
    </row>
    <row r="42" spans="36:36" x14ac:dyDescent="0.35">
      <c r="AJ42"/>
    </row>
    <row r="43" spans="36:36" x14ac:dyDescent="0.35">
      <c r="AJ43"/>
    </row>
    <row r="44" spans="36:36" x14ac:dyDescent="0.35">
      <c r="AJ44"/>
    </row>
    <row r="45" spans="36:36" x14ac:dyDescent="0.35">
      <c r="AJ45"/>
    </row>
    <row r="46" spans="36:36" x14ac:dyDescent="0.35">
      <c r="AJ46"/>
    </row>
    <row r="47" spans="36:36" x14ac:dyDescent="0.35">
      <c r="AJ47"/>
    </row>
    <row r="48" spans="36:36" x14ac:dyDescent="0.35">
      <c r="AJ48"/>
    </row>
    <row r="49" spans="36:36" x14ac:dyDescent="0.35">
      <c r="AJ49"/>
    </row>
    <row r="50" spans="36:36" x14ac:dyDescent="0.35">
      <c r="AJ50"/>
    </row>
    <row r="51" spans="36:36" x14ac:dyDescent="0.35">
      <c r="AJ51"/>
    </row>
    <row r="52" spans="36:36" x14ac:dyDescent="0.35">
      <c r="AJ52"/>
    </row>
    <row r="53" spans="36:36" x14ac:dyDescent="0.35">
      <c r="AJ53"/>
    </row>
    <row r="54" spans="36:36" x14ac:dyDescent="0.35">
      <c r="AJ54"/>
    </row>
    <row r="55" spans="36:36" x14ac:dyDescent="0.35">
      <c r="AJ55"/>
    </row>
    <row r="56" spans="36:36" x14ac:dyDescent="0.35">
      <c r="AJ56"/>
    </row>
    <row r="57" spans="36:36" x14ac:dyDescent="0.35">
      <c r="AJ57"/>
    </row>
    <row r="58" spans="36:36" x14ac:dyDescent="0.35">
      <c r="AJ58"/>
    </row>
    <row r="59" spans="36:36" x14ac:dyDescent="0.35">
      <c r="AJ59"/>
    </row>
    <row r="60" spans="36:36" x14ac:dyDescent="0.35">
      <c r="AJ60"/>
    </row>
    <row r="61" spans="36:36" x14ac:dyDescent="0.35">
      <c r="AJ61"/>
    </row>
    <row r="62" spans="36:36" x14ac:dyDescent="0.35">
      <c r="AJ62"/>
    </row>
    <row r="63" spans="36:36" x14ac:dyDescent="0.35">
      <c r="AJ63"/>
    </row>
    <row r="64" spans="36:36" x14ac:dyDescent="0.35">
      <c r="AJ64"/>
    </row>
    <row r="65" spans="36:36" x14ac:dyDescent="0.35">
      <c r="AJ65"/>
    </row>
    <row r="66" spans="36:36" x14ac:dyDescent="0.35">
      <c r="AJ66"/>
    </row>
    <row r="67" spans="36:36" x14ac:dyDescent="0.35">
      <c r="AJ67"/>
    </row>
    <row r="68" spans="36:36" x14ac:dyDescent="0.35">
      <c r="AJ68"/>
    </row>
    <row r="69" spans="36:36" x14ac:dyDescent="0.35">
      <c r="AJ69"/>
    </row>
    <row r="70" spans="36:36" x14ac:dyDescent="0.35">
      <c r="AJ70"/>
    </row>
    <row r="71" spans="36:36" x14ac:dyDescent="0.35">
      <c r="AJ71"/>
    </row>
    <row r="72" spans="36:36" x14ac:dyDescent="0.35">
      <c r="AJ72"/>
    </row>
    <row r="73" spans="36:36" x14ac:dyDescent="0.35">
      <c r="AJ73"/>
    </row>
    <row r="74" spans="36:36" x14ac:dyDescent="0.35">
      <c r="AJ74"/>
    </row>
    <row r="75" spans="36:36" x14ac:dyDescent="0.35">
      <c r="AJ75"/>
    </row>
    <row r="76" spans="36:36" x14ac:dyDescent="0.35">
      <c r="AJ76"/>
    </row>
    <row r="77" spans="36:36" x14ac:dyDescent="0.35">
      <c r="AJ77"/>
    </row>
    <row r="78" spans="36:36" x14ac:dyDescent="0.35">
      <c r="AJ78"/>
    </row>
    <row r="79" spans="36:36" x14ac:dyDescent="0.35">
      <c r="AJ79"/>
    </row>
    <row r="80" spans="36:36" x14ac:dyDescent="0.35">
      <c r="AJ80"/>
    </row>
    <row r="81" spans="36:36" x14ac:dyDescent="0.35">
      <c r="AJ81"/>
    </row>
    <row r="82" spans="36:36" x14ac:dyDescent="0.35">
      <c r="AJ82"/>
    </row>
    <row r="83" spans="36:36" x14ac:dyDescent="0.35">
      <c r="AJ83"/>
    </row>
    <row r="84" spans="36:36" x14ac:dyDescent="0.35">
      <c r="AJ84"/>
    </row>
    <row r="85" spans="36:36" x14ac:dyDescent="0.35">
      <c r="AJ85"/>
    </row>
    <row r="86" spans="36:36" x14ac:dyDescent="0.35">
      <c r="AJ86"/>
    </row>
    <row r="87" spans="36:36" x14ac:dyDescent="0.35">
      <c r="AJ87"/>
    </row>
    <row r="88" spans="36:36" x14ac:dyDescent="0.35">
      <c r="AJ88"/>
    </row>
    <row r="89" spans="36:36" x14ac:dyDescent="0.35">
      <c r="AJ89"/>
    </row>
    <row r="90" spans="36:36" x14ac:dyDescent="0.35">
      <c r="AJ90"/>
    </row>
    <row r="91" spans="36:36" x14ac:dyDescent="0.35">
      <c r="AJ91"/>
    </row>
    <row r="92" spans="36:36" x14ac:dyDescent="0.35">
      <c r="AJ92"/>
    </row>
    <row r="93" spans="36:36" x14ac:dyDescent="0.35">
      <c r="AJ93"/>
    </row>
    <row r="94" spans="36:36" x14ac:dyDescent="0.35">
      <c r="AJ94"/>
    </row>
    <row r="95" spans="36:36" x14ac:dyDescent="0.35">
      <c r="AJ95"/>
    </row>
    <row r="96" spans="36:36" x14ac:dyDescent="0.35">
      <c r="AJ96"/>
    </row>
    <row r="97" spans="36:36" x14ac:dyDescent="0.35">
      <c r="AJ97"/>
    </row>
    <row r="98" spans="36:36" x14ac:dyDescent="0.35">
      <c r="AJ98"/>
    </row>
    <row r="99" spans="36:36" x14ac:dyDescent="0.35">
      <c r="AJ99"/>
    </row>
    <row r="100" spans="36:36" x14ac:dyDescent="0.35">
      <c r="AJ100"/>
    </row>
    <row r="101" spans="36:36" x14ac:dyDescent="0.35">
      <c r="AJ101"/>
    </row>
    <row r="102" spans="36:36" x14ac:dyDescent="0.35">
      <c r="AJ102"/>
    </row>
    <row r="103" spans="36:36" x14ac:dyDescent="0.35">
      <c r="AJ103"/>
    </row>
    <row r="104" spans="36:36" x14ac:dyDescent="0.35">
      <c r="AJ104"/>
    </row>
    <row r="105" spans="36:36" x14ac:dyDescent="0.35">
      <c r="AJ105"/>
    </row>
    <row r="106" spans="36:36" x14ac:dyDescent="0.35">
      <c r="AJ106"/>
    </row>
    <row r="107" spans="36:36" x14ac:dyDescent="0.35">
      <c r="AJ107"/>
    </row>
    <row r="108" spans="36:36" x14ac:dyDescent="0.35">
      <c r="AJ108"/>
    </row>
    <row r="109" spans="36:36" x14ac:dyDescent="0.35">
      <c r="AJ109"/>
    </row>
    <row r="110" spans="36:36" x14ac:dyDescent="0.35">
      <c r="AJ110"/>
    </row>
    <row r="111" spans="36:36" x14ac:dyDescent="0.35">
      <c r="AJ111"/>
    </row>
    <row r="112" spans="36:36" x14ac:dyDescent="0.35">
      <c r="AJ112"/>
    </row>
    <row r="113" spans="36:36" x14ac:dyDescent="0.35">
      <c r="AJ113"/>
    </row>
    <row r="114" spans="36:36" x14ac:dyDescent="0.35">
      <c r="AJ114"/>
    </row>
    <row r="115" spans="36:36" x14ac:dyDescent="0.35">
      <c r="AJ115"/>
    </row>
    <row r="116" spans="36:36" x14ac:dyDescent="0.35">
      <c r="AJ116"/>
    </row>
    <row r="117" spans="36:36" x14ac:dyDescent="0.35">
      <c r="AJ117"/>
    </row>
    <row r="118" spans="36:36" x14ac:dyDescent="0.35">
      <c r="AJ118"/>
    </row>
    <row r="119" spans="36:36" x14ac:dyDescent="0.35">
      <c r="AJ119"/>
    </row>
    <row r="120" spans="36:36" x14ac:dyDescent="0.35">
      <c r="AJ120"/>
    </row>
    <row r="121" spans="36:36" x14ac:dyDescent="0.35">
      <c r="AJ121"/>
    </row>
    <row r="122" spans="36:36" x14ac:dyDescent="0.35">
      <c r="AJ122"/>
    </row>
    <row r="123" spans="36:36" x14ac:dyDescent="0.35">
      <c r="AJ123"/>
    </row>
    <row r="124" spans="36:36" x14ac:dyDescent="0.35">
      <c r="AJ124"/>
    </row>
    <row r="125" spans="36:36" x14ac:dyDescent="0.35">
      <c r="AJ125"/>
    </row>
    <row r="126" spans="36:36" x14ac:dyDescent="0.35">
      <c r="AJ126"/>
    </row>
    <row r="127" spans="36:36" x14ac:dyDescent="0.35">
      <c r="AJ127"/>
    </row>
    <row r="128" spans="36:36" x14ac:dyDescent="0.35">
      <c r="AJ128"/>
    </row>
    <row r="129" spans="36:36" x14ac:dyDescent="0.35">
      <c r="AJ129"/>
    </row>
    <row r="130" spans="36:36" x14ac:dyDescent="0.35">
      <c r="AJ130"/>
    </row>
    <row r="131" spans="36:36" x14ac:dyDescent="0.35">
      <c r="AJ131"/>
    </row>
    <row r="132" spans="36:36" x14ac:dyDescent="0.35">
      <c r="AJ132"/>
    </row>
    <row r="133" spans="36:36" x14ac:dyDescent="0.35">
      <c r="AJ133"/>
    </row>
    <row r="134" spans="36:36" x14ac:dyDescent="0.35">
      <c r="AJ134"/>
    </row>
    <row r="135" spans="36:36" x14ac:dyDescent="0.35">
      <c r="AJ135"/>
    </row>
    <row r="136" spans="36:36" x14ac:dyDescent="0.35">
      <c r="AJ136"/>
    </row>
    <row r="137" spans="36:36" x14ac:dyDescent="0.35">
      <c r="AJ137"/>
    </row>
    <row r="138" spans="36:36" x14ac:dyDescent="0.35">
      <c r="AJ138"/>
    </row>
    <row r="139" spans="36:36" x14ac:dyDescent="0.35">
      <c r="AJ139"/>
    </row>
    <row r="140" spans="36:36" x14ac:dyDescent="0.35">
      <c r="AJ140"/>
    </row>
    <row r="141" spans="36:36" x14ac:dyDescent="0.35">
      <c r="AJ141"/>
    </row>
    <row r="142" spans="36:36" x14ac:dyDescent="0.35">
      <c r="AJ142"/>
    </row>
    <row r="143" spans="36:36" x14ac:dyDescent="0.35">
      <c r="AJ143"/>
    </row>
    <row r="144" spans="36:36" x14ac:dyDescent="0.35">
      <c r="AJ144"/>
    </row>
    <row r="145" spans="36:36" x14ac:dyDescent="0.35">
      <c r="AJ145"/>
    </row>
    <row r="146" spans="36:36" x14ac:dyDescent="0.35">
      <c r="AJ146"/>
    </row>
    <row r="147" spans="36:36" x14ac:dyDescent="0.35">
      <c r="AJ147"/>
    </row>
    <row r="148" spans="36:36" x14ac:dyDescent="0.35">
      <c r="AJ148"/>
    </row>
    <row r="149" spans="36:36" x14ac:dyDescent="0.35">
      <c r="AJ149"/>
    </row>
    <row r="150" spans="36:36" x14ac:dyDescent="0.35">
      <c r="AJ150"/>
    </row>
    <row r="151" spans="36:36" x14ac:dyDescent="0.35">
      <c r="AJ151"/>
    </row>
    <row r="152" spans="36:36" x14ac:dyDescent="0.35">
      <c r="AJ152"/>
    </row>
    <row r="153" spans="36:36" x14ac:dyDescent="0.35">
      <c r="AJ153"/>
    </row>
    <row r="154" spans="36:36" x14ac:dyDescent="0.35">
      <c r="AJ154"/>
    </row>
    <row r="155" spans="36:36" x14ac:dyDescent="0.35">
      <c r="AJ155"/>
    </row>
    <row r="156" spans="36:36" x14ac:dyDescent="0.35">
      <c r="AJ156"/>
    </row>
    <row r="157" spans="36:36" x14ac:dyDescent="0.35">
      <c r="AJ157"/>
    </row>
    <row r="158" spans="36:36" x14ac:dyDescent="0.35">
      <c r="AJ158"/>
    </row>
    <row r="159" spans="36:36" x14ac:dyDescent="0.35">
      <c r="AJ159"/>
    </row>
    <row r="160" spans="36:36" x14ac:dyDescent="0.35">
      <c r="AJ160"/>
    </row>
    <row r="161" spans="36:36" x14ac:dyDescent="0.35">
      <c r="AJ161"/>
    </row>
    <row r="162" spans="36:36" x14ac:dyDescent="0.35">
      <c r="AJ162"/>
    </row>
    <row r="163" spans="36:36" x14ac:dyDescent="0.35">
      <c r="AJ163"/>
    </row>
    <row r="164" spans="36:36" x14ac:dyDescent="0.35">
      <c r="AJ164"/>
    </row>
    <row r="165" spans="36:36" x14ac:dyDescent="0.35">
      <c r="AJ165"/>
    </row>
    <row r="166" spans="36:36" x14ac:dyDescent="0.35">
      <c r="AJ166"/>
    </row>
    <row r="167" spans="36:36" x14ac:dyDescent="0.35">
      <c r="AJ167"/>
    </row>
    <row r="168" spans="36:36" x14ac:dyDescent="0.35">
      <c r="AJ168"/>
    </row>
    <row r="169" spans="36:36" x14ac:dyDescent="0.35">
      <c r="AJ169"/>
    </row>
    <row r="170" spans="36:36" x14ac:dyDescent="0.35">
      <c r="AJ170"/>
    </row>
    <row r="171" spans="36:36" x14ac:dyDescent="0.35">
      <c r="AJ171"/>
    </row>
    <row r="172" spans="36:36" x14ac:dyDescent="0.35">
      <c r="AJ172"/>
    </row>
    <row r="173" spans="36:36" x14ac:dyDescent="0.35">
      <c r="AJ173"/>
    </row>
    <row r="174" spans="36:36" x14ac:dyDescent="0.35">
      <c r="AJ174"/>
    </row>
    <row r="175" spans="36:36" x14ac:dyDescent="0.35">
      <c r="AJ175"/>
    </row>
    <row r="176" spans="36:36" x14ac:dyDescent="0.35">
      <c r="AJ176"/>
    </row>
    <row r="177" spans="36:36" x14ac:dyDescent="0.35">
      <c r="AJ177"/>
    </row>
    <row r="178" spans="36:36" x14ac:dyDescent="0.35">
      <c r="AJ178"/>
    </row>
    <row r="179" spans="36:36" x14ac:dyDescent="0.35">
      <c r="AJ179"/>
    </row>
    <row r="180" spans="36:36" x14ac:dyDescent="0.35">
      <c r="AJ180"/>
    </row>
    <row r="181" spans="36:36" x14ac:dyDescent="0.35">
      <c r="AJ181"/>
    </row>
    <row r="182" spans="36:36" x14ac:dyDescent="0.35">
      <c r="AJ182"/>
    </row>
    <row r="183" spans="36:36" x14ac:dyDescent="0.35">
      <c r="AJ183"/>
    </row>
    <row r="184" spans="36:36" x14ac:dyDescent="0.35">
      <c r="AJ184"/>
    </row>
    <row r="185" spans="36:36" x14ac:dyDescent="0.35">
      <c r="AJ185"/>
    </row>
    <row r="186" spans="36:36" x14ac:dyDescent="0.35">
      <c r="AJ186"/>
    </row>
    <row r="187" spans="36:36" x14ac:dyDescent="0.35">
      <c r="AJ187"/>
    </row>
    <row r="188" spans="36:36" x14ac:dyDescent="0.35">
      <c r="AJ188"/>
    </row>
    <row r="189" spans="36:36" x14ac:dyDescent="0.35">
      <c r="AJ189"/>
    </row>
    <row r="190" spans="36:36" x14ac:dyDescent="0.35">
      <c r="AJ190"/>
    </row>
    <row r="191" spans="36:36" x14ac:dyDescent="0.35">
      <c r="AJ191"/>
    </row>
    <row r="192" spans="36:36" x14ac:dyDescent="0.35">
      <c r="AJ192"/>
    </row>
    <row r="193" spans="36:36" x14ac:dyDescent="0.35">
      <c r="AJ193"/>
    </row>
    <row r="194" spans="36:36" x14ac:dyDescent="0.35">
      <c r="AJ194"/>
    </row>
    <row r="195" spans="36:36" x14ac:dyDescent="0.35">
      <c r="AJ195"/>
    </row>
    <row r="196" spans="36:36" x14ac:dyDescent="0.35">
      <c r="AJ196"/>
    </row>
    <row r="197" spans="36:36" x14ac:dyDescent="0.35">
      <c r="AJ197"/>
    </row>
    <row r="198" spans="36:36" x14ac:dyDescent="0.35">
      <c r="AJ198"/>
    </row>
    <row r="199" spans="36:36" x14ac:dyDescent="0.35">
      <c r="AJ199"/>
    </row>
    <row r="200" spans="36:36" x14ac:dyDescent="0.35">
      <c r="AJ200"/>
    </row>
    <row r="201" spans="36:36" x14ac:dyDescent="0.35">
      <c r="AJ201"/>
    </row>
    <row r="202" spans="36:36" x14ac:dyDescent="0.35">
      <c r="AJ202"/>
    </row>
    <row r="203" spans="36:36" x14ac:dyDescent="0.35">
      <c r="AJ203"/>
    </row>
    <row r="204" spans="36:36" x14ac:dyDescent="0.35">
      <c r="AJ204"/>
    </row>
    <row r="205" spans="36:36" x14ac:dyDescent="0.35">
      <c r="AJ205"/>
    </row>
    <row r="206" spans="36:36" x14ac:dyDescent="0.35">
      <c r="AJ206"/>
    </row>
    <row r="207" spans="36:36" x14ac:dyDescent="0.35">
      <c r="AJ207"/>
    </row>
    <row r="208" spans="36:36" x14ac:dyDescent="0.35">
      <c r="AJ208"/>
    </row>
    <row r="209" spans="36:36" x14ac:dyDescent="0.35">
      <c r="AJ209"/>
    </row>
    <row r="210" spans="36:36" x14ac:dyDescent="0.35">
      <c r="AJ210"/>
    </row>
    <row r="211" spans="36:36" x14ac:dyDescent="0.35">
      <c r="AJ211"/>
    </row>
    <row r="212" spans="36:36" x14ac:dyDescent="0.35">
      <c r="AJ212"/>
    </row>
    <row r="213" spans="36:36" x14ac:dyDescent="0.35">
      <c r="AJ213"/>
    </row>
    <row r="214" spans="36:36" x14ac:dyDescent="0.35">
      <c r="AJ214"/>
    </row>
    <row r="215" spans="36:36" x14ac:dyDescent="0.35">
      <c r="AJ215"/>
    </row>
    <row r="216" spans="36:36" x14ac:dyDescent="0.35">
      <c r="AJ216"/>
    </row>
    <row r="217" spans="36:36" x14ac:dyDescent="0.35">
      <c r="AJ217"/>
    </row>
    <row r="218" spans="36:36" x14ac:dyDescent="0.35">
      <c r="AJ218"/>
    </row>
    <row r="219" spans="36:36" x14ac:dyDescent="0.35">
      <c r="AJ219"/>
    </row>
    <row r="220" spans="36:36" x14ac:dyDescent="0.35">
      <c r="AJ220"/>
    </row>
    <row r="221" spans="36:36" x14ac:dyDescent="0.35">
      <c r="AJ221"/>
    </row>
    <row r="222" spans="36:36" x14ac:dyDescent="0.35">
      <c r="AJ222"/>
    </row>
    <row r="223" spans="36:36" x14ac:dyDescent="0.35">
      <c r="AJ223"/>
    </row>
    <row r="224" spans="36:36" x14ac:dyDescent="0.35">
      <c r="AJ224"/>
    </row>
    <row r="225" spans="36:36" x14ac:dyDescent="0.35">
      <c r="AJ225"/>
    </row>
    <row r="226" spans="36:36" x14ac:dyDescent="0.35">
      <c r="AJ226"/>
    </row>
    <row r="227" spans="36:36" x14ac:dyDescent="0.35">
      <c r="AJ227"/>
    </row>
    <row r="228" spans="36:36" x14ac:dyDescent="0.35">
      <c r="AJ228"/>
    </row>
    <row r="229" spans="36:36" x14ac:dyDescent="0.35">
      <c r="AJ229"/>
    </row>
    <row r="230" spans="36:36" x14ac:dyDescent="0.35">
      <c r="AJ230"/>
    </row>
    <row r="231" spans="36:36" x14ac:dyDescent="0.35">
      <c r="AJ231"/>
    </row>
    <row r="232" spans="36:36" x14ac:dyDescent="0.35">
      <c r="AJ232"/>
    </row>
    <row r="233" spans="36:36" x14ac:dyDescent="0.35">
      <c r="AJ233"/>
    </row>
    <row r="234" spans="36:36" x14ac:dyDescent="0.35">
      <c r="AJ234"/>
    </row>
    <row r="235" spans="36:36" x14ac:dyDescent="0.35">
      <c r="AJ235"/>
    </row>
    <row r="236" spans="36:36" x14ac:dyDescent="0.35">
      <c r="AJ236"/>
    </row>
    <row r="237" spans="36:36" x14ac:dyDescent="0.35">
      <c r="AJ237"/>
    </row>
    <row r="238" spans="36:36" x14ac:dyDescent="0.35">
      <c r="AJ238"/>
    </row>
    <row r="239" spans="36:36" x14ac:dyDescent="0.35">
      <c r="AJ239"/>
    </row>
    <row r="240" spans="36:36" x14ac:dyDescent="0.35">
      <c r="AJ240"/>
    </row>
    <row r="241" spans="36:36" x14ac:dyDescent="0.35">
      <c r="AJ241"/>
    </row>
    <row r="242" spans="36:36" x14ac:dyDescent="0.35">
      <c r="AJ242"/>
    </row>
    <row r="243" spans="36:36" x14ac:dyDescent="0.35">
      <c r="AJ243"/>
    </row>
    <row r="244" spans="36:36" x14ac:dyDescent="0.35">
      <c r="AJ244"/>
    </row>
    <row r="245" spans="36:36" x14ac:dyDescent="0.35">
      <c r="AJ245"/>
    </row>
    <row r="246" spans="36:36" x14ac:dyDescent="0.35">
      <c r="AJ246"/>
    </row>
    <row r="247" spans="36:36" x14ac:dyDescent="0.35">
      <c r="AJ247"/>
    </row>
    <row r="248" spans="36:36" x14ac:dyDescent="0.35">
      <c r="AJ248"/>
    </row>
    <row r="249" spans="36:36" x14ac:dyDescent="0.35">
      <c r="AJ249"/>
    </row>
    <row r="250" spans="36:36" x14ac:dyDescent="0.35">
      <c r="AJ250"/>
    </row>
    <row r="251" spans="36:36" x14ac:dyDescent="0.35">
      <c r="AJ251"/>
    </row>
    <row r="252" spans="36:36" x14ac:dyDescent="0.35">
      <c r="AJ252"/>
    </row>
    <row r="253" spans="36:36" x14ac:dyDescent="0.35">
      <c r="AJ253"/>
    </row>
    <row r="254" spans="36:36" x14ac:dyDescent="0.35">
      <c r="AJ254"/>
    </row>
    <row r="255" spans="36:36" x14ac:dyDescent="0.35">
      <c r="AJ255"/>
    </row>
    <row r="256" spans="36:36" x14ac:dyDescent="0.35">
      <c r="AJ256"/>
    </row>
    <row r="257" spans="36:36" x14ac:dyDescent="0.35">
      <c r="AJ257"/>
    </row>
    <row r="258" spans="36:36" x14ac:dyDescent="0.35">
      <c r="AJ258"/>
    </row>
    <row r="259" spans="36:36" x14ac:dyDescent="0.35">
      <c r="AJ259"/>
    </row>
    <row r="260" spans="36:36" x14ac:dyDescent="0.35">
      <c r="AJ260"/>
    </row>
    <row r="261" spans="36:36" x14ac:dyDescent="0.35">
      <c r="AJ261"/>
    </row>
    <row r="262" spans="36:36" x14ac:dyDescent="0.35">
      <c r="AJ262"/>
    </row>
    <row r="263" spans="36:36" x14ac:dyDescent="0.35">
      <c r="AJ263"/>
    </row>
    <row r="264" spans="36:36" x14ac:dyDescent="0.35">
      <c r="AJ264"/>
    </row>
    <row r="265" spans="36:36" x14ac:dyDescent="0.35">
      <c r="AJ265"/>
    </row>
    <row r="266" spans="36:36" x14ac:dyDescent="0.35">
      <c r="AJ266"/>
    </row>
    <row r="267" spans="36:36" x14ac:dyDescent="0.35">
      <c r="AJ267"/>
    </row>
    <row r="268" spans="36:36" x14ac:dyDescent="0.35">
      <c r="AJ268"/>
    </row>
    <row r="269" spans="36:36" x14ac:dyDescent="0.35">
      <c r="AJ269"/>
    </row>
    <row r="270" spans="36:36" x14ac:dyDescent="0.35">
      <c r="AJ270"/>
    </row>
    <row r="271" spans="36:36" x14ac:dyDescent="0.35">
      <c r="AJ271"/>
    </row>
    <row r="272" spans="36:36" x14ac:dyDescent="0.35">
      <c r="AJ272"/>
    </row>
    <row r="273" spans="36:36" x14ac:dyDescent="0.35">
      <c r="AJ273"/>
    </row>
    <row r="274" spans="36:36" x14ac:dyDescent="0.35">
      <c r="AJ274"/>
    </row>
    <row r="275" spans="36:36" x14ac:dyDescent="0.35">
      <c r="AJ275"/>
    </row>
    <row r="276" spans="36:36" x14ac:dyDescent="0.35">
      <c r="AJ276"/>
    </row>
    <row r="277" spans="36:36" x14ac:dyDescent="0.35">
      <c r="AJ277"/>
    </row>
    <row r="278" spans="36:36" x14ac:dyDescent="0.35">
      <c r="AJ278"/>
    </row>
    <row r="279" spans="36:36" x14ac:dyDescent="0.35">
      <c r="AJ279"/>
    </row>
    <row r="280" spans="36:36" x14ac:dyDescent="0.35">
      <c r="AJ280"/>
    </row>
    <row r="281" spans="36:36" x14ac:dyDescent="0.35">
      <c r="AJ281"/>
    </row>
    <row r="282" spans="36:36" x14ac:dyDescent="0.35">
      <c r="AJ282"/>
    </row>
    <row r="283" spans="36:36" x14ac:dyDescent="0.35">
      <c r="AJ283"/>
    </row>
    <row r="284" spans="36:36" x14ac:dyDescent="0.35">
      <c r="AJ284"/>
    </row>
  </sheetData>
  <conditionalFormatting sqref="E5:E13">
    <cfRule type="colorScale" priority="6">
      <colorScale>
        <cfvo type="min"/>
        <cfvo type="max"/>
        <color rgb="FFFFEF9C"/>
        <color rgb="FF63BE7B"/>
      </colorScale>
    </cfRule>
  </conditionalFormatting>
  <conditionalFormatting sqref="E16:E32">
    <cfRule type="colorScale" priority="2">
      <colorScale>
        <cfvo type="min"/>
        <cfvo type="max"/>
        <color rgb="FFFFEF9C"/>
        <color rgb="FF63BE7B"/>
      </colorScale>
    </cfRule>
  </conditionalFormatting>
  <conditionalFormatting sqref="G5:G13">
    <cfRule type="colorScale" priority="5">
      <colorScale>
        <cfvo type="min"/>
        <cfvo type="max"/>
        <color rgb="FFFFEF9C"/>
        <color rgb="FF63BE7B"/>
      </colorScale>
    </cfRule>
  </conditionalFormatting>
  <conditionalFormatting sqref="P5:P13">
    <cfRule type="colorScale" priority="4">
      <colorScale>
        <cfvo type="min"/>
        <cfvo type="max"/>
        <color rgb="FFFFEF9C"/>
        <color rgb="FF63BE7B"/>
      </colorScale>
    </cfRule>
  </conditionalFormatting>
  <conditionalFormatting sqref="P16:P32">
    <cfRule type="colorScale" priority="1">
      <colorScale>
        <cfvo type="min"/>
        <cfvo type="max"/>
        <color rgb="FFFFEF9C"/>
        <color rgb="FF63BE7B"/>
      </colorScale>
    </cfRule>
  </conditionalFormatting>
  <conditionalFormatting sqref="R5:R13">
    <cfRule type="colorScale" priority="3">
      <colorScale>
        <cfvo type="min"/>
        <cfvo type="max"/>
        <color rgb="FFFFEF9C"/>
        <color rgb="FF63BE7B"/>
      </colorScale>
    </cfRule>
  </conditionalFormatting>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E85AD-DA0E-4F00-B020-860082D15043}">
  <sheetPr>
    <tabColor theme="8"/>
  </sheetPr>
  <dimension ref="B2:J319"/>
  <sheetViews>
    <sheetView showGridLines="0" zoomScale="80" zoomScaleNormal="80" workbookViewId="0"/>
  </sheetViews>
  <sheetFormatPr defaultColWidth="8.54296875" defaultRowHeight="14.5" x14ac:dyDescent="0.35"/>
  <cols>
    <col min="1" max="1" width="8.54296875" style="15"/>
    <col min="2" max="2" width="21" style="15" bestFit="1" customWidth="1"/>
    <col min="3" max="5" width="14.453125" style="15" customWidth="1"/>
    <col min="6" max="6" width="13.54296875" style="15" bestFit="1" customWidth="1"/>
    <col min="7" max="7" width="21" style="15" bestFit="1" customWidth="1"/>
    <col min="8" max="10" width="14.453125" style="15" customWidth="1"/>
    <col min="11" max="11" width="30.54296875" style="15" bestFit="1" customWidth="1"/>
    <col min="12" max="16384" width="8.54296875" style="15"/>
  </cols>
  <sheetData>
    <row r="2" spans="2:10" ht="26" x14ac:dyDescent="0.35">
      <c r="B2" s="41" t="s">
        <v>537</v>
      </c>
    </row>
    <row r="4" spans="2:10" x14ac:dyDescent="0.35">
      <c r="B4" s="71" t="s">
        <v>15</v>
      </c>
      <c r="C4" s="72" t="s">
        <v>609</v>
      </c>
      <c r="G4" s="71" t="s">
        <v>17</v>
      </c>
      <c r="H4" s="72" t="s">
        <v>609</v>
      </c>
    </row>
    <row r="6" spans="2:10" ht="37" customHeight="1" x14ac:dyDescent="0.35">
      <c r="B6" s="71" t="s">
        <v>549</v>
      </c>
      <c r="C6" s="73" t="s">
        <v>539</v>
      </c>
      <c r="D6" s="73" t="s">
        <v>610</v>
      </c>
      <c r="E6" s="73" t="s">
        <v>541</v>
      </c>
      <c r="G6" s="71" t="s">
        <v>549</v>
      </c>
      <c r="H6" s="77" t="s">
        <v>539</v>
      </c>
      <c r="I6" s="77" t="s">
        <v>610</v>
      </c>
      <c r="J6" s="77" t="s">
        <v>541</v>
      </c>
    </row>
    <row r="7" spans="2:10" x14ac:dyDescent="0.35">
      <c r="B7" s="74" t="s">
        <v>39</v>
      </c>
      <c r="C7" s="75">
        <v>21424</v>
      </c>
      <c r="D7" s="75">
        <v>7389</v>
      </c>
      <c r="E7" s="76">
        <v>0.34489357729648989</v>
      </c>
      <c r="G7" s="74" t="s">
        <v>39</v>
      </c>
      <c r="H7" s="75">
        <v>21424</v>
      </c>
      <c r="I7" s="75">
        <v>7389</v>
      </c>
      <c r="J7" s="76">
        <v>0.34489357729648989</v>
      </c>
    </row>
    <row r="8" spans="2:10" x14ac:dyDescent="0.35">
      <c r="B8" s="74" t="s">
        <v>32</v>
      </c>
      <c r="C8" s="75">
        <v>6967</v>
      </c>
      <c r="D8" s="75">
        <v>2747</v>
      </c>
      <c r="E8" s="76">
        <v>0.39428735467202525</v>
      </c>
      <c r="G8" s="74" t="s">
        <v>32</v>
      </c>
      <c r="H8" s="75">
        <v>6967</v>
      </c>
      <c r="I8" s="75">
        <v>2747</v>
      </c>
      <c r="J8" s="76">
        <v>0.39428735467202525</v>
      </c>
    </row>
    <row r="9" spans="2:10" x14ac:dyDescent="0.35">
      <c r="B9" s="74" t="s">
        <v>57</v>
      </c>
      <c r="C9" s="75">
        <v>4897</v>
      </c>
      <c r="D9" s="75">
        <v>2171</v>
      </c>
      <c r="E9" s="76">
        <v>0.44333265264447619</v>
      </c>
      <c r="G9" s="74" t="s">
        <v>57</v>
      </c>
      <c r="H9" s="75">
        <v>4897</v>
      </c>
      <c r="I9" s="75">
        <v>2171</v>
      </c>
      <c r="J9" s="76">
        <v>0.44333265264447619</v>
      </c>
    </row>
    <row r="10" spans="2:10" x14ac:dyDescent="0.35">
      <c r="B10" s="74" t="s">
        <v>50</v>
      </c>
      <c r="C10" s="75">
        <v>4119</v>
      </c>
      <c r="D10" s="75">
        <v>1540</v>
      </c>
      <c r="E10" s="76">
        <v>0.37387715464918669</v>
      </c>
      <c r="G10" s="74" t="s">
        <v>50</v>
      </c>
      <c r="H10" s="75">
        <v>4119</v>
      </c>
      <c r="I10" s="75">
        <v>1540</v>
      </c>
      <c r="J10" s="76">
        <v>0.37387715464918669</v>
      </c>
    </row>
    <row r="11" spans="2:10" x14ac:dyDescent="0.35">
      <c r="B11" s="74" t="s">
        <v>43</v>
      </c>
      <c r="C11" s="75">
        <v>5880</v>
      </c>
      <c r="D11" s="75">
        <v>2008</v>
      </c>
      <c r="E11" s="76">
        <v>0.34149659863945581</v>
      </c>
      <c r="G11" s="74" t="s">
        <v>43</v>
      </c>
      <c r="H11" s="75">
        <v>5880</v>
      </c>
      <c r="I11" s="75">
        <v>2008</v>
      </c>
      <c r="J11" s="76">
        <v>0.34149659863945581</v>
      </c>
    </row>
    <row r="12" spans="2:10" x14ac:dyDescent="0.35">
      <c r="B12" s="74" t="s">
        <v>64</v>
      </c>
      <c r="C12" s="75">
        <v>3345</v>
      </c>
      <c r="D12" s="75">
        <v>1350</v>
      </c>
      <c r="E12" s="76">
        <v>0.40358744394618834</v>
      </c>
      <c r="G12" s="74" t="s">
        <v>64</v>
      </c>
      <c r="H12" s="75">
        <v>3345</v>
      </c>
      <c r="I12" s="75">
        <v>1350</v>
      </c>
      <c r="J12" s="76">
        <v>0.40358744394618834</v>
      </c>
    </row>
    <row r="13" spans="2:10" x14ac:dyDescent="0.35">
      <c r="B13" s="74" t="s">
        <v>71</v>
      </c>
      <c r="C13" s="75">
        <v>7146</v>
      </c>
      <c r="D13" s="75">
        <v>2284</v>
      </c>
      <c r="E13" s="76">
        <v>0.31961936747830955</v>
      </c>
      <c r="G13" s="74" t="s">
        <v>71</v>
      </c>
      <c r="H13" s="75">
        <v>7146</v>
      </c>
      <c r="I13" s="75">
        <v>2284</v>
      </c>
      <c r="J13" s="76">
        <v>0.31961936747830955</v>
      </c>
    </row>
    <row r="14" spans="2:10" x14ac:dyDescent="0.35">
      <c r="B14" s="74" t="s">
        <v>78</v>
      </c>
      <c r="C14" s="75">
        <v>5934</v>
      </c>
      <c r="D14" s="75">
        <v>2649</v>
      </c>
      <c r="E14" s="76">
        <v>0.44641051567239637</v>
      </c>
      <c r="G14" s="74" t="s">
        <v>78</v>
      </c>
      <c r="H14" s="75">
        <v>5934</v>
      </c>
      <c r="I14" s="75">
        <v>2649</v>
      </c>
      <c r="J14" s="76">
        <v>0.44641051567239637</v>
      </c>
    </row>
    <row r="15" spans="2:10" x14ac:dyDescent="0.35">
      <c r="B15" s="74" t="s">
        <v>85</v>
      </c>
      <c r="C15" s="75">
        <v>3938</v>
      </c>
      <c r="D15" s="75">
        <v>2216</v>
      </c>
      <c r="E15" s="76">
        <v>0.56272219400711021</v>
      </c>
      <c r="G15" s="74" t="s">
        <v>85</v>
      </c>
      <c r="H15" s="75">
        <v>3938</v>
      </c>
      <c r="I15" s="75">
        <v>2216</v>
      </c>
      <c r="J15" s="76">
        <v>0.56272219400711021</v>
      </c>
    </row>
    <row r="16" spans="2:10" x14ac:dyDescent="0.35">
      <c r="B16" s="74" t="s">
        <v>91</v>
      </c>
      <c r="C16" s="75">
        <v>17100</v>
      </c>
      <c r="D16" s="75">
        <v>7487</v>
      </c>
      <c r="E16" s="76">
        <v>0.43783625730994152</v>
      </c>
      <c r="G16" s="74" t="s">
        <v>91</v>
      </c>
      <c r="H16" s="75">
        <v>17100</v>
      </c>
      <c r="I16" s="75">
        <v>7487</v>
      </c>
      <c r="J16" s="76">
        <v>0.43783625730994152</v>
      </c>
    </row>
    <row r="17" spans="2:10" x14ac:dyDescent="0.35">
      <c r="B17" s="74" t="s">
        <v>178</v>
      </c>
      <c r="C17" s="75">
        <v>3053</v>
      </c>
      <c r="D17" s="75">
        <v>1049</v>
      </c>
      <c r="E17" s="76">
        <v>0.34359646249590564</v>
      </c>
      <c r="G17" s="74" t="s">
        <v>178</v>
      </c>
      <c r="H17" s="75">
        <v>3053</v>
      </c>
      <c r="I17" s="75">
        <v>1049</v>
      </c>
      <c r="J17" s="76">
        <v>0.34359646249590564</v>
      </c>
    </row>
    <row r="18" spans="2:10" x14ac:dyDescent="0.35">
      <c r="B18" s="74" t="s">
        <v>97</v>
      </c>
      <c r="C18" s="75">
        <v>3667</v>
      </c>
      <c r="D18" s="75">
        <v>1690</v>
      </c>
      <c r="E18" s="76">
        <v>0.46086719389146441</v>
      </c>
      <c r="G18" s="74" t="s">
        <v>97</v>
      </c>
      <c r="H18" s="75">
        <v>3667</v>
      </c>
      <c r="I18" s="75">
        <v>1690</v>
      </c>
      <c r="J18" s="76">
        <v>0.46086719389146441</v>
      </c>
    </row>
    <row r="19" spans="2:10" x14ac:dyDescent="0.35">
      <c r="B19" s="74" t="s">
        <v>103</v>
      </c>
      <c r="C19" s="75">
        <v>11551</v>
      </c>
      <c r="D19" s="75">
        <v>4313</v>
      </c>
      <c r="E19" s="76">
        <v>0.37338758549043372</v>
      </c>
      <c r="G19" s="74" t="s">
        <v>103</v>
      </c>
      <c r="H19" s="75">
        <v>11551</v>
      </c>
      <c r="I19" s="75">
        <v>4313</v>
      </c>
      <c r="J19" s="76">
        <v>0.37338758549043372</v>
      </c>
    </row>
    <row r="20" spans="2:10" x14ac:dyDescent="0.35">
      <c r="B20" s="74" t="s">
        <v>115</v>
      </c>
      <c r="C20" s="75">
        <v>3801</v>
      </c>
      <c r="D20" s="75">
        <v>1759</v>
      </c>
      <c r="E20" s="76">
        <v>0.46277295448566169</v>
      </c>
      <c r="G20" s="74" t="s">
        <v>115</v>
      </c>
      <c r="H20" s="75">
        <v>3801</v>
      </c>
      <c r="I20" s="75">
        <v>1759</v>
      </c>
      <c r="J20" s="76">
        <v>0.46277295448566169</v>
      </c>
    </row>
    <row r="21" spans="2:10" x14ac:dyDescent="0.35">
      <c r="B21" s="74" t="s">
        <v>109</v>
      </c>
      <c r="C21" s="75">
        <v>9537</v>
      </c>
      <c r="D21" s="75">
        <v>4420</v>
      </c>
      <c r="E21" s="76">
        <v>0.46345811051693403</v>
      </c>
      <c r="G21" s="74" t="s">
        <v>109</v>
      </c>
      <c r="H21" s="75">
        <v>9537</v>
      </c>
      <c r="I21" s="75">
        <v>4420</v>
      </c>
      <c r="J21" s="76">
        <v>0.46345811051693403</v>
      </c>
    </row>
    <row r="22" spans="2:10" x14ac:dyDescent="0.35">
      <c r="B22" s="74" t="s">
        <v>120</v>
      </c>
      <c r="C22" s="75">
        <v>6639</v>
      </c>
      <c r="D22" s="75">
        <v>2366</v>
      </c>
      <c r="E22" s="76">
        <v>0.35637897273685798</v>
      </c>
      <c r="G22" s="74" t="s">
        <v>120</v>
      </c>
      <c r="H22" s="75">
        <v>6639</v>
      </c>
      <c r="I22" s="75">
        <v>2366</v>
      </c>
      <c r="J22" s="76">
        <v>0.35637897273685798</v>
      </c>
    </row>
    <row r="23" spans="2:10" x14ac:dyDescent="0.35">
      <c r="B23" s="74" t="s">
        <v>126</v>
      </c>
      <c r="C23" s="75">
        <v>3706</v>
      </c>
      <c r="D23" s="75">
        <v>1852</v>
      </c>
      <c r="E23" s="76">
        <v>0.49973016729627628</v>
      </c>
      <c r="G23" s="74" t="s">
        <v>126</v>
      </c>
      <c r="H23" s="75">
        <v>3706</v>
      </c>
      <c r="I23" s="75">
        <v>1852</v>
      </c>
      <c r="J23" s="76">
        <v>0.49973016729627628</v>
      </c>
    </row>
    <row r="24" spans="2:10" x14ac:dyDescent="0.35">
      <c r="B24" s="74" t="s">
        <v>132</v>
      </c>
      <c r="C24" s="75">
        <v>4230</v>
      </c>
      <c r="D24" s="75">
        <v>1787</v>
      </c>
      <c r="E24" s="76">
        <v>0.42245862884160756</v>
      </c>
      <c r="G24" s="74" t="s">
        <v>132</v>
      </c>
      <c r="H24" s="75">
        <v>4230</v>
      </c>
      <c r="I24" s="75">
        <v>1787</v>
      </c>
      <c r="J24" s="76">
        <v>0.42245862884160756</v>
      </c>
    </row>
    <row r="25" spans="2:10" x14ac:dyDescent="0.35">
      <c r="B25" s="74" t="s">
        <v>181</v>
      </c>
      <c r="C25" s="75">
        <v>3385</v>
      </c>
      <c r="D25" s="75">
        <v>1581</v>
      </c>
      <c r="E25" s="76">
        <v>0.46706056129985229</v>
      </c>
      <c r="G25" s="74" t="s">
        <v>181</v>
      </c>
      <c r="H25" s="75">
        <v>6786</v>
      </c>
      <c r="I25" s="75">
        <v>3156</v>
      </c>
      <c r="J25" s="76">
        <v>0.46507515473032712</v>
      </c>
    </row>
    <row r="26" spans="2:10" x14ac:dyDescent="0.35">
      <c r="B26" s="74" t="s">
        <v>138</v>
      </c>
      <c r="C26" s="75">
        <v>1777</v>
      </c>
      <c r="D26" s="75">
        <v>904</v>
      </c>
      <c r="E26" s="76">
        <v>0.50872256612267863</v>
      </c>
      <c r="G26" s="74" t="s">
        <v>138</v>
      </c>
      <c r="H26" s="75">
        <v>1777</v>
      </c>
      <c r="I26" s="75">
        <v>904</v>
      </c>
      <c r="J26" s="76">
        <v>0.50872256612267863</v>
      </c>
    </row>
    <row r="27" spans="2:10" x14ac:dyDescent="0.35">
      <c r="B27" s="74" t="s">
        <v>144</v>
      </c>
      <c r="C27" s="75">
        <v>6043</v>
      </c>
      <c r="D27" s="75">
        <v>1981</v>
      </c>
      <c r="E27" s="76">
        <v>0.32781730928346847</v>
      </c>
      <c r="G27" s="74" t="s">
        <v>144</v>
      </c>
      <c r="H27" s="75">
        <v>6043</v>
      </c>
      <c r="I27" s="75">
        <v>1981</v>
      </c>
      <c r="J27" s="76">
        <v>0.32781730928346847</v>
      </c>
    </row>
    <row r="28" spans="2:10" x14ac:dyDescent="0.35">
      <c r="B28" s="74" t="s">
        <v>149</v>
      </c>
      <c r="C28" s="75">
        <v>5174</v>
      </c>
      <c r="D28" s="75">
        <v>1650</v>
      </c>
      <c r="E28" s="76">
        <v>0.3189022033243139</v>
      </c>
      <c r="G28" s="74" t="s">
        <v>149</v>
      </c>
      <c r="H28" s="75">
        <v>5174</v>
      </c>
      <c r="I28" s="75">
        <v>1650</v>
      </c>
      <c r="J28" s="76">
        <v>0.3189022033243139</v>
      </c>
    </row>
    <row r="29" spans="2:10" x14ac:dyDescent="0.35">
      <c r="B29" s="74" t="s">
        <v>154</v>
      </c>
      <c r="C29" s="75">
        <v>3059</v>
      </c>
      <c r="D29" s="75">
        <v>1166</v>
      </c>
      <c r="E29" s="76">
        <v>0.38117031709709054</v>
      </c>
      <c r="G29" s="74" t="s">
        <v>154</v>
      </c>
      <c r="H29" s="75">
        <v>3059</v>
      </c>
      <c r="I29" s="75">
        <v>1166</v>
      </c>
      <c r="J29" s="76">
        <v>0.38117031709709054</v>
      </c>
    </row>
    <row r="30" spans="2:10" x14ac:dyDescent="0.35">
      <c r="B30" s="74" t="s">
        <v>163</v>
      </c>
      <c r="C30" s="75">
        <v>998</v>
      </c>
      <c r="D30" s="75">
        <v>421</v>
      </c>
      <c r="E30" s="76">
        <v>0.42184368737474948</v>
      </c>
      <c r="G30" s="74" t="s">
        <v>163</v>
      </c>
      <c r="H30" s="75">
        <v>998</v>
      </c>
      <c r="I30" s="75">
        <v>421</v>
      </c>
      <c r="J30" s="76">
        <v>0.42184368737474948</v>
      </c>
    </row>
    <row r="31" spans="2:10" x14ac:dyDescent="0.35">
      <c r="B31" s="74" t="s">
        <v>159</v>
      </c>
      <c r="C31" s="75">
        <v>18777</v>
      </c>
      <c r="D31" s="75">
        <v>6958</v>
      </c>
      <c r="E31" s="76">
        <v>0.37055972732598391</v>
      </c>
      <c r="G31" s="74" t="s">
        <v>159</v>
      </c>
      <c r="H31" s="75">
        <v>18777</v>
      </c>
      <c r="I31" s="75">
        <v>6958</v>
      </c>
      <c r="J31" s="76">
        <v>0.37055972732598391</v>
      </c>
    </row>
    <row r="32" spans="2:10" x14ac:dyDescent="0.35">
      <c r="B32" s="74" t="s">
        <v>166</v>
      </c>
      <c r="C32" s="75">
        <v>4088</v>
      </c>
      <c r="D32" s="75">
        <v>1592</v>
      </c>
      <c r="E32" s="76">
        <v>0.38943248532289626</v>
      </c>
      <c r="G32" s="74" t="s">
        <v>166</v>
      </c>
      <c r="H32" s="75">
        <v>4088</v>
      </c>
      <c r="I32" s="75">
        <v>1592</v>
      </c>
      <c r="J32" s="76">
        <v>0.38943248532289626</v>
      </c>
    </row>
    <row r="33" spans="2:10" x14ac:dyDescent="0.35">
      <c r="B33" s="74" t="s">
        <v>172</v>
      </c>
      <c r="C33" s="75">
        <v>6877</v>
      </c>
      <c r="D33" s="75">
        <v>2835</v>
      </c>
      <c r="E33" s="76">
        <v>0.41224371092045953</v>
      </c>
      <c r="G33" s="74" t="s">
        <v>172</v>
      </c>
      <c r="H33" s="75">
        <v>10718</v>
      </c>
      <c r="I33" s="75">
        <v>4195</v>
      </c>
      <c r="J33" s="76">
        <v>0.39139764881507744</v>
      </c>
    </row>
    <row r="34" spans="2:10" x14ac:dyDescent="0.35">
      <c r="B34" s="74" t="s">
        <v>169</v>
      </c>
      <c r="C34" s="75">
        <v>2454</v>
      </c>
      <c r="D34" s="75">
        <v>861</v>
      </c>
      <c r="E34" s="76">
        <v>0.35085574572127137</v>
      </c>
      <c r="G34" s="74" t="s">
        <v>169</v>
      </c>
      <c r="H34" s="75">
        <v>2454</v>
      </c>
      <c r="I34" s="75">
        <v>861</v>
      </c>
      <c r="J34" s="76">
        <v>0.35085574572127137</v>
      </c>
    </row>
    <row r="35" spans="2:10" x14ac:dyDescent="0.35">
      <c r="B35" s="74" t="s">
        <v>175</v>
      </c>
      <c r="C35" s="75">
        <v>604</v>
      </c>
      <c r="D35" s="75">
        <v>269</v>
      </c>
      <c r="E35" s="76">
        <v>0.44536423841059603</v>
      </c>
      <c r="G35" s="74" t="s">
        <v>175</v>
      </c>
      <c r="H35" s="75">
        <v>604</v>
      </c>
      <c r="I35" s="75">
        <v>269</v>
      </c>
      <c r="J35" s="76">
        <v>0.44536423841059603</v>
      </c>
    </row>
    <row r="36" spans="2:10" x14ac:dyDescent="0.35">
      <c r="B36" s="74" t="s">
        <v>184</v>
      </c>
      <c r="C36" s="75">
        <v>8265</v>
      </c>
      <c r="D36" s="75">
        <v>3638</v>
      </c>
      <c r="E36" s="76">
        <v>0.44016938898971569</v>
      </c>
      <c r="G36" s="74" t="s">
        <v>184</v>
      </c>
      <c r="H36" s="75">
        <v>8265</v>
      </c>
      <c r="I36" s="75">
        <v>3638</v>
      </c>
      <c r="J36" s="76">
        <v>0.44016938898971569</v>
      </c>
    </row>
    <row r="37" spans="2:10" x14ac:dyDescent="0.35">
      <c r="B37" s="74" t="s">
        <v>189</v>
      </c>
      <c r="C37" s="75">
        <v>4258</v>
      </c>
      <c r="D37" s="75">
        <v>1475</v>
      </c>
      <c r="E37" s="76">
        <v>0.34640676373884455</v>
      </c>
      <c r="G37" s="74" t="s">
        <v>189</v>
      </c>
      <c r="H37" s="75">
        <v>4258</v>
      </c>
      <c r="I37" s="75">
        <v>1475</v>
      </c>
      <c r="J37" s="76">
        <v>0.34640676373884455</v>
      </c>
    </row>
    <row r="38" spans="2:10" x14ac:dyDescent="0.35">
      <c r="B38" s="74" t="s">
        <v>191</v>
      </c>
      <c r="C38" s="75">
        <v>2956</v>
      </c>
      <c r="D38" s="75">
        <v>1170</v>
      </c>
      <c r="E38" s="76">
        <v>0.39580514208389717</v>
      </c>
      <c r="G38" s="74" t="s">
        <v>191</v>
      </c>
      <c r="H38" s="75">
        <v>2956</v>
      </c>
      <c r="I38" s="75">
        <v>1170</v>
      </c>
      <c r="J38" s="76">
        <v>0.39580514208389717</v>
      </c>
    </row>
    <row r="39" spans="2:10" x14ac:dyDescent="0.35">
      <c r="B39" s="74" t="s">
        <v>611</v>
      </c>
      <c r="C39" s="75">
        <v>195649</v>
      </c>
      <c r="D39" s="75">
        <v>77578</v>
      </c>
      <c r="E39" s="76">
        <v>0.39651621015185357</v>
      </c>
      <c r="G39" s="74" t="s">
        <v>611</v>
      </c>
      <c r="H39" s="75">
        <v>202891</v>
      </c>
      <c r="I39" s="75">
        <v>80513</v>
      </c>
      <c r="J39" s="76">
        <v>0.39682883913037048</v>
      </c>
    </row>
    <row r="40" spans="2:10" x14ac:dyDescent="0.35">
      <c r="B40"/>
      <c r="C40"/>
      <c r="D40"/>
      <c r="E40"/>
      <c r="G40"/>
      <c r="H40"/>
      <c r="I40"/>
      <c r="J40"/>
    </row>
    <row r="41" spans="2:10" ht="26.5" customHeight="1" x14ac:dyDescent="0.35">
      <c r="B41"/>
      <c r="C41"/>
      <c r="D41"/>
      <c r="E41"/>
      <c r="G41" s="2"/>
      <c r="H41" s="2"/>
      <c r="I41" s="2"/>
      <c r="J41" s="2"/>
    </row>
    <row r="42" spans="2:10" x14ac:dyDescent="0.35">
      <c r="B42"/>
      <c r="C42"/>
      <c r="D42"/>
      <c r="E42"/>
    </row>
    <row r="43" spans="2:10" x14ac:dyDescent="0.35">
      <c r="B43"/>
      <c r="C43"/>
      <c r="D43"/>
      <c r="E43"/>
    </row>
    <row r="44" spans="2:10" x14ac:dyDescent="0.35">
      <c r="B44"/>
      <c r="C44"/>
      <c r="D44"/>
      <c r="E44"/>
    </row>
    <row r="45" spans="2:10" x14ac:dyDescent="0.35">
      <c r="B45"/>
      <c r="C45"/>
      <c r="D45"/>
      <c r="E45"/>
    </row>
    <row r="46" spans="2:10" x14ac:dyDescent="0.35">
      <c r="B46"/>
      <c r="C46"/>
      <c r="D46"/>
      <c r="E46"/>
    </row>
    <row r="47" spans="2:10" x14ac:dyDescent="0.35">
      <c r="B47"/>
      <c r="C47"/>
      <c r="D47"/>
      <c r="E47"/>
    </row>
    <row r="48" spans="2:10" x14ac:dyDescent="0.35">
      <c r="B48"/>
      <c r="C48"/>
      <c r="D48"/>
      <c r="E48"/>
    </row>
    <row r="49" spans="2:5" x14ac:dyDescent="0.35">
      <c r="B49"/>
      <c r="C49"/>
      <c r="D49"/>
      <c r="E49"/>
    </row>
    <row r="50" spans="2:5" x14ac:dyDescent="0.35">
      <c r="B50"/>
      <c r="C50"/>
      <c r="D50"/>
      <c r="E50"/>
    </row>
    <row r="51" spans="2:5" x14ac:dyDescent="0.35">
      <c r="B51"/>
      <c r="C51"/>
      <c r="D51"/>
      <c r="E51"/>
    </row>
    <row r="52" spans="2:5" x14ac:dyDescent="0.35">
      <c r="B52"/>
      <c r="C52"/>
      <c r="D52"/>
      <c r="E52"/>
    </row>
    <row r="53" spans="2:5" x14ac:dyDescent="0.35">
      <c r="B53"/>
      <c r="C53"/>
      <c r="D53"/>
      <c r="E53"/>
    </row>
    <row r="54" spans="2:5" x14ac:dyDescent="0.35">
      <c r="B54"/>
      <c r="C54"/>
      <c r="D54"/>
      <c r="E54"/>
    </row>
    <row r="55" spans="2:5" x14ac:dyDescent="0.35">
      <c r="B55"/>
      <c r="C55"/>
      <c r="D55"/>
      <c r="E55"/>
    </row>
    <row r="56" spans="2:5" x14ac:dyDescent="0.35">
      <c r="B56"/>
      <c r="C56"/>
      <c r="D56"/>
      <c r="E56"/>
    </row>
    <row r="57" spans="2:5" x14ac:dyDescent="0.35">
      <c r="B57"/>
      <c r="C57"/>
      <c r="D57"/>
      <c r="E57"/>
    </row>
    <row r="58" spans="2:5" x14ac:dyDescent="0.35">
      <c r="B58"/>
      <c r="C58"/>
      <c r="D58"/>
      <c r="E58"/>
    </row>
    <row r="59" spans="2:5" x14ac:dyDescent="0.35">
      <c r="B59"/>
      <c r="C59"/>
      <c r="D59"/>
      <c r="E59"/>
    </row>
    <row r="60" spans="2:5" x14ac:dyDescent="0.35">
      <c r="B60"/>
      <c r="C60"/>
      <c r="D60"/>
      <c r="E60"/>
    </row>
    <row r="61" spans="2:5" x14ac:dyDescent="0.35">
      <c r="B61"/>
      <c r="C61"/>
      <c r="D61"/>
      <c r="E61"/>
    </row>
    <row r="62" spans="2:5" x14ac:dyDescent="0.35">
      <c r="B62"/>
      <c r="C62"/>
      <c r="D62"/>
      <c r="E62"/>
    </row>
    <row r="63" spans="2:5" x14ac:dyDescent="0.35">
      <c r="B63"/>
      <c r="C63"/>
      <c r="D63"/>
      <c r="E63"/>
    </row>
    <row r="64" spans="2:5" x14ac:dyDescent="0.35">
      <c r="B64"/>
      <c r="C64"/>
      <c r="D64"/>
      <c r="E64"/>
    </row>
    <row r="65" spans="2:5" x14ac:dyDescent="0.35">
      <c r="B65"/>
      <c r="C65"/>
      <c r="D65"/>
      <c r="E65"/>
    </row>
    <row r="66" spans="2:5" x14ac:dyDescent="0.35">
      <c r="B66"/>
      <c r="C66"/>
      <c r="D66"/>
      <c r="E66"/>
    </row>
    <row r="67" spans="2:5" x14ac:dyDescent="0.35">
      <c r="B67"/>
      <c r="C67"/>
      <c r="D67"/>
      <c r="E67"/>
    </row>
    <row r="68" spans="2:5" x14ac:dyDescent="0.35">
      <c r="B68"/>
      <c r="C68"/>
      <c r="D68"/>
      <c r="E68"/>
    </row>
    <row r="69" spans="2:5" x14ac:dyDescent="0.35">
      <c r="B69"/>
      <c r="C69"/>
      <c r="D69"/>
      <c r="E69"/>
    </row>
    <row r="70" spans="2:5" x14ac:dyDescent="0.35">
      <c r="B70"/>
      <c r="C70"/>
      <c r="D70"/>
      <c r="E70"/>
    </row>
    <row r="71" spans="2:5" x14ac:dyDescent="0.35">
      <c r="B71"/>
      <c r="C71"/>
      <c r="D71"/>
      <c r="E71"/>
    </row>
    <row r="72" spans="2:5" x14ac:dyDescent="0.35">
      <c r="B72"/>
      <c r="C72"/>
      <c r="D72"/>
      <c r="E72"/>
    </row>
    <row r="73" spans="2:5" x14ac:dyDescent="0.35">
      <c r="B73"/>
      <c r="C73"/>
      <c r="D73"/>
      <c r="E73"/>
    </row>
    <row r="74" spans="2:5" x14ac:dyDescent="0.35">
      <c r="B74"/>
      <c r="C74"/>
      <c r="D74"/>
      <c r="E74"/>
    </row>
    <row r="75" spans="2:5" x14ac:dyDescent="0.35">
      <c r="B75"/>
      <c r="C75"/>
      <c r="D75"/>
      <c r="E75"/>
    </row>
    <row r="76" spans="2:5" x14ac:dyDescent="0.35">
      <c r="B76"/>
      <c r="C76"/>
      <c r="D76"/>
      <c r="E76"/>
    </row>
    <row r="77" spans="2:5" x14ac:dyDescent="0.35">
      <c r="B77"/>
      <c r="C77"/>
      <c r="D77"/>
      <c r="E77"/>
    </row>
    <row r="78" spans="2:5" x14ac:dyDescent="0.35">
      <c r="B78"/>
      <c r="C78"/>
      <c r="D78"/>
      <c r="E78"/>
    </row>
    <row r="79" spans="2:5" x14ac:dyDescent="0.35">
      <c r="B79"/>
      <c r="C79"/>
      <c r="D79"/>
      <c r="E79"/>
    </row>
    <row r="80" spans="2:5" x14ac:dyDescent="0.35">
      <c r="B80"/>
      <c r="C80"/>
      <c r="D80"/>
      <c r="E80"/>
    </row>
    <row r="81" spans="2:5" x14ac:dyDescent="0.35">
      <c r="B81"/>
      <c r="C81"/>
      <c r="D81"/>
      <c r="E81"/>
    </row>
    <row r="82" spans="2:5" x14ac:dyDescent="0.35">
      <c r="B82"/>
      <c r="C82"/>
      <c r="D82"/>
      <c r="E82"/>
    </row>
    <row r="83" spans="2:5" x14ac:dyDescent="0.35">
      <c r="B83"/>
      <c r="C83"/>
      <c r="D83"/>
      <c r="E83"/>
    </row>
    <row r="84" spans="2:5" x14ac:dyDescent="0.35">
      <c r="B84"/>
      <c r="C84"/>
      <c r="D84"/>
      <c r="E84"/>
    </row>
    <row r="85" spans="2:5" x14ac:dyDescent="0.35">
      <c r="B85"/>
      <c r="C85"/>
      <c r="D85"/>
      <c r="E85"/>
    </row>
    <row r="86" spans="2:5" x14ac:dyDescent="0.35">
      <c r="B86"/>
      <c r="C86"/>
      <c r="D86"/>
      <c r="E86"/>
    </row>
    <row r="87" spans="2:5" x14ac:dyDescent="0.35">
      <c r="B87"/>
      <c r="C87"/>
      <c r="D87"/>
      <c r="E87"/>
    </row>
    <row r="88" spans="2:5" x14ac:dyDescent="0.35">
      <c r="B88"/>
      <c r="C88"/>
      <c r="D88"/>
      <c r="E88"/>
    </row>
    <row r="89" spans="2:5" x14ac:dyDescent="0.35">
      <c r="B89"/>
      <c r="C89"/>
      <c r="D89"/>
      <c r="E89"/>
    </row>
    <row r="90" spans="2:5" x14ac:dyDescent="0.35">
      <c r="B90"/>
      <c r="C90"/>
      <c r="D90"/>
      <c r="E90"/>
    </row>
    <row r="91" spans="2:5" x14ac:dyDescent="0.35">
      <c r="B91"/>
      <c r="C91"/>
      <c r="D91"/>
      <c r="E91"/>
    </row>
    <row r="92" spans="2:5" x14ac:dyDescent="0.35">
      <c r="B92"/>
      <c r="C92"/>
      <c r="D92"/>
      <c r="E92"/>
    </row>
    <row r="93" spans="2:5" x14ac:dyDescent="0.35">
      <c r="B93"/>
      <c r="C93"/>
      <c r="D93"/>
      <c r="E93"/>
    </row>
    <row r="94" spans="2:5" x14ac:dyDescent="0.35">
      <c r="B94"/>
      <c r="C94"/>
      <c r="D94"/>
      <c r="E94"/>
    </row>
    <row r="95" spans="2:5" x14ac:dyDescent="0.35">
      <c r="B95"/>
      <c r="C95"/>
      <c r="D95"/>
      <c r="E95"/>
    </row>
    <row r="96" spans="2:5" x14ac:dyDescent="0.35">
      <c r="B96"/>
      <c r="C96"/>
      <c r="D96"/>
      <c r="E96"/>
    </row>
    <row r="97" spans="2:5" x14ac:dyDescent="0.35">
      <c r="B97"/>
      <c r="C97"/>
      <c r="D97"/>
      <c r="E97"/>
    </row>
    <row r="98" spans="2:5" x14ac:dyDescent="0.35">
      <c r="B98"/>
      <c r="C98"/>
      <c r="D98"/>
      <c r="E98"/>
    </row>
    <row r="99" spans="2:5" x14ac:dyDescent="0.35">
      <c r="B99"/>
      <c r="C99"/>
      <c r="D99"/>
      <c r="E99"/>
    </row>
    <row r="100" spans="2:5" x14ac:dyDescent="0.35">
      <c r="B100"/>
      <c r="C100"/>
      <c r="D100"/>
      <c r="E100"/>
    </row>
    <row r="101" spans="2:5" x14ac:dyDescent="0.35">
      <c r="B101"/>
      <c r="C101"/>
      <c r="D101"/>
      <c r="E101"/>
    </row>
    <row r="102" spans="2:5" x14ac:dyDescent="0.35">
      <c r="B102"/>
      <c r="C102"/>
      <c r="D102"/>
      <c r="E102"/>
    </row>
    <row r="103" spans="2:5" x14ac:dyDescent="0.35">
      <c r="B103"/>
      <c r="C103"/>
      <c r="D103"/>
      <c r="E103"/>
    </row>
    <row r="104" spans="2:5" x14ac:dyDescent="0.35">
      <c r="B104"/>
      <c r="C104"/>
      <c r="D104"/>
      <c r="E104"/>
    </row>
    <row r="105" spans="2:5" x14ac:dyDescent="0.35">
      <c r="B105"/>
      <c r="C105"/>
      <c r="D105"/>
      <c r="E105"/>
    </row>
    <row r="106" spans="2:5" x14ac:dyDescent="0.35">
      <c r="B106"/>
      <c r="C106"/>
      <c r="D106"/>
      <c r="E106"/>
    </row>
    <row r="107" spans="2:5" x14ac:dyDescent="0.35">
      <c r="B107"/>
      <c r="C107"/>
      <c r="D107"/>
      <c r="E107"/>
    </row>
    <row r="108" spans="2:5" x14ac:dyDescent="0.35">
      <c r="B108"/>
      <c r="C108"/>
      <c r="D108"/>
      <c r="E108"/>
    </row>
    <row r="109" spans="2:5" x14ac:dyDescent="0.35">
      <c r="B109"/>
      <c r="C109"/>
      <c r="D109"/>
      <c r="E109"/>
    </row>
    <row r="110" spans="2:5" x14ac:dyDescent="0.35">
      <c r="B110"/>
      <c r="C110"/>
      <c r="D110"/>
      <c r="E110"/>
    </row>
    <row r="111" spans="2:5" x14ac:dyDescent="0.35">
      <c r="B111"/>
      <c r="C111"/>
      <c r="D111"/>
      <c r="E111"/>
    </row>
    <row r="112" spans="2:5" x14ac:dyDescent="0.35">
      <c r="B112"/>
      <c r="C112"/>
      <c r="D112"/>
      <c r="E112"/>
    </row>
    <row r="113" spans="2:5" x14ac:dyDescent="0.35">
      <c r="B113"/>
      <c r="C113"/>
      <c r="D113"/>
      <c r="E113"/>
    </row>
    <row r="114" spans="2:5" x14ac:dyDescent="0.35">
      <c r="B114"/>
      <c r="C114"/>
      <c r="D114"/>
      <c r="E114"/>
    </row>
    <row r="115" spans="2:5" x14ac:dyDescent="0.35">
      <c r="B115"/>
      <c r="C115"/>
      <c r="D115"/>
      <c r="E115"/>
    </row>
    <row r="116" spans="2:5" x14ac:dyDescent="0.35">
      <c r="B116"/>
      <c r="C116"/>
      <c r="D116"/>
      <c r="E116"/>
    </row>
    <row r="117" spans="2:5" x14ac:dyDescent="0.35">
      <c r="B117"/>
      <c r="C117"/>
      <c r="D117"/>
      <c r="E117"/>
    </row>
    <row r="118" spans="2:5" x14ac:dyDescent="0.35">
      <c r="B118"/>
      <c r="C118"/>
      <c r="D118"/>
      <c r="E118"/>
    </row>
    <row r="119" spans="2:5" x14ac:dyDescent="0.35">
      <c r="B119"/>
      <c r="C119"/>
      <c r="D119"/>
      <c r="E119"/>
    </row>
    <row r="120" spans="2:5" x14ac:dyDescent="0.35">
      <c r="B120"/>
      <c r="C120"/>
      <c r="D120"/>
      <c r="E120"/>
    </row>
    <row r="121" spans="2:5" x14ac:dyDescent="0.35">
      <c r="B121"/>
      <c r="C121"/>
      <c r="D121"/>
      <c r="E121"/>
    </row>
    <row r="122" spans="2:5" x14ac:dyDescent="0.35">
      <c r="B122"/>
      <c r="C122"/>
      <c r="D122"/>
      <c r="E122"/>
    </row>
    <row r="123" spans="2:5" x14ac:dyDescent="0.35">
      <c r="B123"/>
      <c r="C123"/>
      <c r="D123"/>
      <c r="E123"/>
    </row>
    <row r="124" spans="2:5" x14ac:dyDescent="0.35">
      <c r="B124"/>
      <c r="C124"/>
      <c r="D124"/>
      <c r="E124"/>
    </row>
    <row r="125" spans="2:5" x14ac:dyDescent="0.35">
      <c r="B125"/>
      <c r="C125"/>
      <c r="D125"/>
      <c r="E125"/>
    </row>
    <row r="126" spans="2:5" x14ac:dyDescent="0.35">
      <c r="B126"/>
      <c r="C126"/>
      <c r="D126"/>
      <c r="E126"/>
    </row>
    <row r="127" spans="2:5" x14ac:dyDescent="0.35">
      <c r="B127"/>
      <c r="C127"/>
      <c r="D127"/>
      <c r="E127"/>
    </row>
    <row r="128" spans="2:5" x14ac:dyDescent="0.35">
      <c r="B128"/>
      <c r="C128"/>
      <c r="D128"/>
      <c r="E128"/>
    </row>
    <row r="129" spans="2:5" x14ac:dyDescent="0.35">
      <c r="B129"/>
      <c r="C129"/>
      <c r="D129"/>
      <c r="E129"/>
    </row>
    <row r="130" spans="2:5" x14ac:dyDescent="0.35">
      <c r="B130"/>
      <c r="C130"/>
      <c r="D130"/>
      <c r="E130"/>
    </row>
    <row r="131" spans="2:5" x14ac:dyDescent="0.35">
      <c r="B131"/>
      <c r="C131"/>
      <c r="D131"/>
      <c r="E131"/>
    </row>
    <row r="132" spans="2:5" x14ac:dyDescent="0.35">
      <c r="B132"/>
      <c r="C132"/>
      <c r="D132"/>
      <c r="E132"/>
    </row>
    <row r="133" spans="2:5" x14ac:dyDescent="0.35">
      <c r="B133"/>
      <c r="C133"/>
      <c r="D133"/>
      <c r="E133"/>
    </row>
    <row r="134" spans="2:5" x14ac:dyDescent="0.35">
      <c r="B134"/>
      <c r="C134"/>
      <c r="D134"/>
      <c r="E134"/>
    </row>
    <row r="135" spans="2:5" x14ac:dyDescent="0.35">
      <c r="B135"/>
      <c r="C135"/>
      <c r="D135"/>
      <c r="E135"/>
    </row>
    <row r="136" spans="2:5" x14ac:dyDescent="0.35">
      <c r="B136"/>
      <c r="C136"/>
      <c r="D136"/>
      <c r="E136"/>
    </row>
    <row r="137" spans="2:5" x14ac:dyDescent="0.35">
      <c r="B137"/>
      <c r="C137"/>
      <c r="D137"/>
      <c r="E137"/>
    </row>
    <row r="138" spans="2:5" x14ac:dyDescent="0.35">
      <c r="B138"/>
      <c r="C138"/>
      <c r="D138"/>
      <c r="E138"/>
    </row>
    <row r="139" spans="2:5" x14ac:dyDescent="0.35">
      <c r="B139"/>
      <c r="C139"/>
      <c r="D139"/>
      <c r="E139"/>
    </row>
    <row r="140" spans="2:5" x14ac:dyDescent="0.35">
      <c r="B140"/>
      <c r="C140"/>
      <c r="D140"/>
      <c r="E140"/>
    </row>
    <row r="141" spans="2:5" x14ac:dyDescent="0.35">
      <c r="B141"/>
      <c r="C141"/>
      <c r="D141"/>
      <c r="E141"/>
    </row>
    <row r="142" spans="2:5" x14ac:dyDescent="0.35">
      <c r="B142"/>
      <c r="C142"/>
      <c r="D142"/>
      <c r="E142"/>
    </row>
    <row r="143" spans="2:5" x14ac:dyDescent="0.35">
      <c r="B143"/>
      <c r="C143"/>
      <c r="D143"/>
      <c r="E143"/>
    </row>
    <row r="144" spans="2:5" x14ac:dyDescent="0.35">
      <c r="B144"/>
      <c r="C144"/>
      <c r="D144"/>
      <c r="E144"/>
    </row>
    <row r="145" spans="2:5" x14ac:dyDescent="0.35">
      <c r="B145"/>
      <c r="C145"/>
      <c r="D145"/>
      <c r="E145"/>
    </row>
    <row r="146" spans="2:5" x14ac:dyDescent="0.35">
      <c r="B146"/>
      <c r="C146"/>
      <c r="D146"/>
      <c r="E146"/>
    </row>
    <row r="147" spans="2:5" x14ac:dyDescent="0.35">
      <c r="B147"/>
      <c r="C147"/>
      <c r="D147"/>
      <c r="E147"/>
    </row>
    <row r="148" spans="2:5" x14ac:dyDescent="0.35">
      <c r="B148"/>
      <c r="C148"/>
      <c r="D148"/>
      <c r="E148"/>
    </row>
    <row r="149" spans="2:5" x14ac:dyDescent="0.35">
      <c r="B149"/>
      <c r="C149"/>
      <c r="D149"/>
      <c r="E149"/>
    </row>
    <row r="150" spans="2:5" x14ac:dyDescent="0.35">
      <c r="B150"/>
      <c r="C150"/>
      <c r="D150"/>
      <c r="E150"/>
    </row>
    <row r="151" spans="2:5" x14ac:dyDescent="0.35">
      <c r="B151"/>
      <c r="C151"/>
      <c r="D151"/>
      <c r="E151"/>
    </row>
    <row r="152" spans="2:5" x14ac:dyDescent="0.35">
      <c r="B152"/>
      <c r="C152"/>
      <c r="D152"/>
      <c r="E152"/>
    </row>
    <row r="153" spans="2:5" x14ac:dyDescent="0.35">
      <c r="B153"/>
      <c r="C153"/>
      <c r="D153"/>
      <c r="E153"/>
    </row>
    <row r="154" spans="2:5" x14ac:dyDescent="0.35">
      <c r="B154"/>
      <c r="C154"/>
      <c r="D154"/>
      <c r="E154"/>
    </row>
    <row r="155" spans="2:5" x14ac:dyDescent="0.35">
      <c r="B155"/>
      <c r="C155"/>
      <c r="D155"/>
      <c r="E155"/>
    </row>
    <row r="156" spans="2:5" x14ac:dyDescent="0.35">
      <c r="B156"/>
      <c r="C156"/>
      <c r="D156"/>
      <c r="E156"/>
    </row>
    <row r="157" spans="2:5" x14ac:dyDescent="0.35">
      <c r="B157"/>
      <c r="C157"/>
      <c r="D157"/>
      <c r="E157"/>
    </row>
    <row r="158" spans="2:5" x14ac:dyDescent="0.35">
      <c r="B158"/>
      <c r="C158"/>
      <c r="D158"/>
      <c r="E158"/>
    </row>
    <row r="159" spans="2:5" x14ac:dyDescent="0.35">
      <c r="B159"/>
      <c r="C159"/>
      <c r="D159"/>
      <c r="E159"/>
    </row>
    <row r="160" spans="2:5" x14ac:dyDescent="0.35">
      <c r="B160"/>
      <c r="C160"/>
      <c r="D160"/>
      <c r="E160"/>
    </row>
    <row r="161" spans="2:5" x14ac:dyDescent="0.35">
      <c r="B161"/>
      <c r="C161"/>
      <c r="D161"/>
      <c r="E161"/>
    </row>
    <row r="162" spans="2:5" x14ac:dyDescent="0.35">
      <c r="B162"/>
      <c r="C162"/>
      <c r="D162"/>
      <c r="E162"/>
    </row>
    <row r="163" spans="2:5" x14ac:dyDescent="0.35">
      <c r="B163"/>
      <c r="C163"/>
      <c r="D163"/>
      <c r="E163"/>
    </row>
    <row r="164" spans="2:5" x14ac:dyDescent="0.35">
      <c r="B164"/>
      <c r="C164"/>
      <c r="D164"/>
      <c r="E164"/>
    </row>
    <row r="165" spans="2:5" x14ac:dyDescent="0.35">
      <c r="B165"/>
      <c r="C165"/>
      <c r="D165"/>
      <c r="E165"/>
    </row>
    <row r="166" spans="2:5" x14ac:dyDescent="0.35">
      <c r="B166"/>
      <c r="C166"/>
      <c r="D166"/>
      <c r="E166"/>
    </row>
    <row r="167" spans="2:5" x14ac:dyDescent="0.35">
      <c r="B167"/>
      <c r="C167"/>
      <c r="D167"/>
      <c r="E167"/>
    </row>
    <row r="168" spans="2:5" x14ac:dyDescent="0.35">
      <c r="B168"/>
      <c r="C168"/>
      <c r="D168"/>
      <c r="E168"/>
    </row>
    <row r="169" spans="2:5" x14ac:dyDescent="0.35">
      <c r="B169"/>
      <c r="C169"/>
      <c r="D169"/>
      <c r="E169"/>
    </row>
    <row r="170" spans="2:5" x14ac:dyDescent="0.35">
      <c r="B170"/>
      <c r="C170"/>
      <c r="D170"/>
      <c r="E170"/>
    </row>
    <row r="171" spans="2:5" x14ac:dyDescent="0.35">
      <c r="B171"/>
      <c r="C171"/>
      <c r="D171"/>
      <c r="E171"/>
    </row>
    <row r="172" spans="2:5" x14ac:dyDescent="0.35">
      <c r="B172"/>
      <c r="C172"/>
      <c r="D172"/>
      <c r="E172"/>
    </row>
    <row r="173" spans="2:5" x14ac:dyDescent="0.35">
      <c r="B173"/>
      <c r="C173"/>
      <c r="D173"/>
      <c r="E173"/>
    </row>
    <row r="174" spans="2:5" x14ac:dyDescent="0.35">
      <c r="B174"/>
      <c r="C174"/>
      <c r="D174"/>
      <c r="E174"/>
    </row>
    <row r="175" spans="2:5" x14ac:dyDescent="0.35">
      <c r="B175"/>
      <c r="C175"/>
      <c r="D175"/>
      <c r="E175"/>
    </row>
    <row r="176" spans="2:5" x14ac:dyDescent="0.35">
      <c r="B176"/>
      <c r="C176"/>
      <c r="D176"/>
      <c r="E176"/>
    </row>
    <row r="177" spans="2:5" x14ac:dyDescent="0.35">
      <c r="B177"/>
      <c r="C177"/>
      <c r="D177"/>
      <c r="E177"/>
    </row>
    <row r="178" spans="2:5" x14ac:dyDescent="0.35">
      <c r="B178"/>
      <c r="C178"/>
      <c r="D178"/>
      <c r="E178"/>
    </row>
    <row r="179" spans="2:5" x14ac:dyDescent="0.35">
      <c r="B179"/>
      <c r="C179"/>
      <c r="D179"/>
      <c r="E179"/>
    </row>
    <row r="180" spans="2:5" x14ac:dyDescent="0.35">
      <c r="B180"/>
      <c r="C180"/>
      <c r="D180"/>
      <c r="E180"/>
    </row>
    <row r="181" spans="2:5" x14ac:dyDescent="0.35">
      <c r="B181"/>
      <c r="C181"/>
      <c r="D181"/>
      <c r="E181"/>
    </row>
    <row r="182" spans="2:5" x14ac:dyDescent="0.35">
      <c r="B182"/>
      <c r="C182"/>
      <c r="D182"/>
      <c r="E182"/>
    </row>
    <row r="183" spans="2:5" x14ac:dyDescent="0.35">
      <c r="B183"/>
      <c r="C183"/>
      <c r="D183"/>
      <c r="E183"/>
    </row>
    <row r="184" spans="2:5" x14ac:dyDescent="0.35">
      <c r="B184"/>
      <c r="C184"/>
      <c r="D184"/>
      <c r="E184"/>
    </row>
    <row r="185" spans="2:5" x14ac:dyDescent="0.35">
      <c r="B185"/>
      <c r="C185"/>
      <c r="D185"/>
      <c r="E185"/>
    </row>
    <row r="186" spans="2:5" x14ac:dyDescent="0.35">
      <c r="B186"/>
      <c r="C186"/>
      <c r="D186"/>
      <c r="E186"/>
    </row>
    <row r="187" spans="2:5" x14ac:dyDescent="0.35">
      <c r="B187"/>
      <c r="C187"/>
      <c r="D187"/>
      <c r="E187"/>
    </row>
    <row r="188" spans="2:5" x14ac:dyDescent="0.35">
      <c r="B188"/>
      <c r="C188"/>
      <c r="D188"/>
      <c r="E188"/>
    </row>
    <row r="189" spans="2:5" x14ac:dyDescent="0.35">
      <c r="B189"/>
      <c r="C189"/>
      <c r="D189"/>
      <c r="E189"/>
    </row>
    <row r="190" spans="2:5" x14ac:dyDescent="0.35">
      <c r="B190"/>
      <c r="C190"/>
      <c r="D190"/>
      <c r="E190"/>
    </row>
    <row r="191" spans="2:5" x14ac:dyDescent="0.35">
      <c r="B191"/>
      <c r="C191"/>
      <c r="D191"/>
      <c r="E191"/>
    </row>
    <row r="192" spans="2:5" x14ac:dyDescent="0.35">
      <c r="B192"/>
      <c r="C192"/>
      <c r="D192"/>
      <c r="E192"/>
    </row>
    <row r="193" spans="2:5" x14ac:dyDescent="0.35">
      <c r="B193"/>
      <c r="C193"/>
      <c r="D193"/>
      <c r="E193"/>
    </row>
    <row r="194" spans="2:5" x14ac:dyDescent="0.35">
      <c r="B194"/>
      <c r="C194"/>
      <c r="D194"/>
      <c r="E194"/>
    </row>
    <row r="195" spans="2:5" x14ac:dyDescent="0.35">
      <c r="B195"/>
      <c r="C195"/>
      <c r="D195"/>
      <c r="E195"/>
    </row>
    <row r="196" spans="2:5" x14ac:dyDescent="0.35">
      <c r="B196"/>
      <c r="C196"/>
      <c r="D196"/>
      <c r="E196"/>
    </row>
    <row r="197" spans="2:5" x14ac:dyDescent="0.35">
      <c r="B197"/>
      <c r="C197"/>
      <c r="D197"/>
      <c r="E197"/>
    </row>
    <row r="198" spans="2:5" x14ac:dyDescent="0.35">
      <c r="B198"/>
      <c r="C198"/>
      <c r="D198"/>
      <c r="E198"/>
    </row>
    <row r="199" spans="2:5" x14ac:dyDescent="0.35">
      <c r="B199"/>
      <c r="C199"/>
      <c r="D199"/>
      <c r="E199"/>
    </row>
    <row r="200" spans="2:5" x14ac:dyDescent="0.35">
      <c r="B200"/>
      <c r="C200"/>
      <c r="D200"/>
      <c r="E200"/>
    </row>
    <row r="201" spans="2:5" x14ac:dyDescent="0.35">
      <c r="B201"/>
      <c r="C201"/>
      <c r="D201"/>
      <c r="E201"/>
    </row>
    <row r="202" spans="2:5" x14ac:dyDescent="0.35">
      <c r="B202"/>
      <c r="C202"/>
      <c r="D202"/>
      <c r="E202"/>
    </row>
    <row r="203" spans="2:5" x14ac:dyDescent="0.35">
      <c r="B203"/>
      <c r="C203"/>
      <c r="D203"/>
      <c r="E203"/>
    </row>
    <row r="204" spans="2:5" x14ac:dyDescent="0.35">
      <c r="B204"/>
      <c r="C204"/>
      <c r="D204"/>
      <c r="E204"/>
    </row>
    <row r="205" spans="2:5" x14ac:dyDescent="0.35">
      <c r="B205"/>
      <c r="C205"/>
      <c r="D205"/>
      <c r="E205"/>
    </row>
    <row r="206" spans="2:5" x14ac:dyDescent="0.35">
      <c r="B206"/>
      <c r="C206"/>
      <c r="D206"/>
      <c r="E206"/>
    </row>
    <row r="207" spans="2:5" x14ac:dyDescent="0.35">
      <c r="B207"/>
      <c r="C207"/>
      <c r="D207"/>
      <c r="E207"/>
    </row>
    <row r="208" spans="2:5" x14ac:dyDescent="0.35">
      <c r="B208"/>
      <c r="C208"/>
      <c r="D208"/>
      <c r="E208"/>
    </row>
    <row r="209" spans="2:5" x14ac:dyDescent="0.35">
      <c r="B209"/>
      <c r="C209"/>
      <c r="D209"/>
      <c r="E209"/>
    </row>
    <row r="210" spans="2:5" x14ac:dyDescent="0.35">
      <c r="B210"/>
      <c r="C210"/>
      <c r="D210"/>
      <c r="E210"/>
    </row>
    <row r="211" spans="2:5" x14ac:dyDescent="0.35">
      <c r="B211"/>
      <c r="C211"/>
      <c r="D211"/>
      <c r="E211"/>
    </row>
    <row r="212" spans="2:5" x14ac:dyDescent="0.35">
      <c r="B212"/>
      <c r="C212"/>
      <c r="D212"/>
      <c r="E212"/>
    </row>
    <row r="213" spans="2:5" x14ac:dyDescent="0.35">
      <c r="B213"/>
      <c r="C213"/>
      <c r="D213"/>
      <c r="E213"/>
    </row>
    <row r="214" spans="2:5" x14ac:dyDescent="0.35">
      <c r="B214"/>
      <c r="C214"/>
      <c r="D214"/>
      <c r="E214"/>
    </row>
    <row r="215" spans="2:5" x14ac:dyDescent="0.35">
      <c r="B215"/>
      <c r="C215"/>
      <c r="D215"/>
      <c r="E215"/>
    </row>
    <row r="216" spans="2:5" x14ac:dyDescent="0.35">
      <c r="B216"/>
      <c r="C216"/>
      <c r="D216"/>
      <c r="E216"/>
    </row>
    <row r="217" spans="2:5" x14ac:dyDescent="0.35">
      <c r="B217"/>
      <c r="C217"/>
      <c r="D217"/>
      <c r="E217"/>
    </row>
    <row r="218" spans="2:5" x14ac:dyDescent="0.35">
      <c r="B218"/>
      <c r="C218"/>
      <c r="D218"/>
      <c r="E218"/>
    </row>
    <row r="219" spans="2:5" x14ac:dyDescent="0.35">
      <c r="B219"/>
      <c r="C219"/>
      <c r="D219"/>
      <c r="E219"/>
    </row>
    <row r="220" spans="2:5" x14ac:dyDescent="0.35">
      <c r="B220"/>
      <c r="C220"/>
      <c r="D220"/>
      <c r="E220"/>
    </row>
    <row r="221" spans="2:5" x14ac:dyDescent="0.35">
      <c r="B221"/>
      <c r="C221"/>
      <c r="D221"/>
      <c r="E221"/>
    </row>
    <row r="222" spans="2:5" x14ac:dyDescent="0.35">
      <c r="B222"/>
      <c r="C222"/>
      <c r="D222"/>
      <c r="E222"/>
    </row>
    <row r="223" spans="2:5" x14ac:dyDescent="0.35">
      <c r="B223"/>
      <c r="C223"/>
      <c r="D223"/>
      <c r="E223"/>
    </row>
    <row r="224" spans="2:5" x14ac:dyDescent="0.35">
      <c r="B224"/>
      <c r="C224"/>
      <c r="D224"/>
      <c r="E224"/>
    </row>
    <row r="225" spans="2:5" x14ac:dyDescent="0.35">
      <c r="B225"/>
      <c r="C225"/>
      <c r="D225"/>
      <c r="E225"/>
    </row>
    <row r="226" spans="2:5" x14ac:dyDescent="0.35">
      <c r="B226"/>
      <c r="C226"/>
      <c r="D226"/>
      <c r="E226"/>
    </row>
    <row r="227" spans="2:5" x14ac:dyDescent="0.35">
      <c r="B227"/>
      <c r="C227"/>
      <c r="D227"/>
      <c r="E227"/>
    </row>
    <row r="228" spans="2:5" x14ac:dyDescent="0.35">
      <c r="B228"/>
      <c r="C228"/>
      <c r="D228"/>
      <c r="E228"/>
    </row>
    <row r="229" spans="2:5" x14ac:dyDescent="0.35">
      <c r="B229"/>
      <c r="C229"/>
      <c r="D229"/>
      <c r="E229"/>
    </row>
    <row r="230" spans="2:5" x14ac:dyDescent="0.35">
      <c r="B230"/>
      <c r="C230"/>
      <c r="D230"/>
      <c r="E230"/>
    </row>
    <row r="231" spans="2:5" x14ac:dyDescent="0.35">
      <c r="B231"/>
      <c r="C231"/>
      <c r="D231"/>
      <c r="E231"/>
    </row>
    <row r="232" spans="2:5" x14ac:dyDescent="0.35">
      <c r="B232"/>
      <c r="C232"/>
      <c r="D232"/>
      <c r="E232"/>
    </row>
    <row r="233" spans="2:5" x14ac:dyDescent="0.35">
      <c r="B233"/>
      <c r="C233"/>
      <c r="D233"/>
      <c r="E233"/>
    </row>
    <row r="234" spans="2:5" x14ac:dyDescent="0.35">
      <c r="B234"/>
      <c r="C234"/>
      <c r="D234"/>
      <c r="E234"/>
    </row>
    <row r="235" spans="2:5" x14ac:dyDescent="0.35">
      <c r="B235"/>
      <c r="C235"/>
      <c r="D235"/>
      <c r="E235"/>
    </row>
    <row r="236" spans="2:5" x14ac:dyDescent="0.35">
      <c r="B236"/>
      <c r="C236"/>
      <c r="D236"/>
      <c r="E236"/>
    </row>
    <row r="237" spans="2:5" x14ac:dyDescent="0.35">
      <c r="B237"/>
      <c r="C237"/>
      <c r="D237"/>
      <c r="E237"/>
    </row>
    <row r="238" spans="2:5" x14ac:dyDescent="0.35">
      <c r="B238"/>
      <c r="C238"/>
      <c r="D238"/>
      <c r="E238"/>
    </row>
    <row r="239" spans="2:5" x14ac:dyDescent="0.35">
      <c r="B239"/>
      <c r="C239"/>
      <c r="D239"/>
      <c r="E239"/>
    </row>
    <row r="240" spans="2:5" x14ac:dyDescent="0.35">
      <c r="B240"/>
      <c r="C240"/>
      <c r="D240"/>
      <c r="E240"/>
    </row>
    <row r="241" spans="2:5" x14ac:dyDescent="0.35">
      <c r="B241"/>
      <c r="C241"/>
      <c r="D241"/>
      <c r="E241"/>
    </row>
    <row r="242" spans="2:5" x14ac:dyDescent="0.35">
      <c r="B242"/>
      <c r="C242"/>
      <c r="D242"/>
      <c r="E242"/>
    </row>
    <row r="243" spans="2:5" x14ac:dyDescent="0.35">
      <c r="B243"/>
      <c r="C243"/>
      <c r="D243"/>
      <c r="E243"/>
    </row>
    <row r="244" spans="2:5" x14ac:dyDescent="0.35">
      <c r="B244"/>
      <c r="C244"/>
      <c r="D244"/>
      <c r="E244"/>
    </row>
    <row r="245" spans="2:5" x14ac:dyDescent="0.35">
      <c r="B245"/>
      <c r="C245"/>
      <c r="D245"/>
      <c r="E245"/>
    </row>
    <row r="246" spans="2:5" x14ac:dyDescent="0.35">
      <c r="B246"/>
      <c r="C246"/>
      <c r="D246"/>
      <c r="E246"/>
    </row>
    <row r="247" spans="2:5" x14ac:dyDescent="0.35">
      <c r="B247"/>
      <c r="C247"/>
      <c r="D247"/>
      <c r="E247"/>
    </row>
    <row r="248" spans="2:5" x14ac:dyDescent="0.35">
      <c r="B248"/>
      <c r="C248"/>
      <c r="D248"/>
      <c r="E248"/>
    </row>
    <row r="249" spans="2:5" x14ac:dyDescent="0.35">
      <c r="B249"/>
      <c r="C249"/>
      <c r="D249"/>
      <c r="E249"/>
    </row>
    <row r="250" spans="2:5" x14ac:dyDescent="0.35">
      <c r="B250"/>
      <c r="C250"/>
      <c r="D250"/>
      <c r="E250"/>
    </row>
    <row r="251" spans="2:5" x14ac:dyDescent="0.35">
      <c r="B251"/>
      <c r="C251"/>
      <c r="D251"/>
      <c r="E251"/>
    </row>
    <row r="252" spans="2:5" x14ac:dyDescent="0.35">
      <c r="B252"/>
      <c r="C252"/>
      <c r="D252"/>
      <c r="E252"/>
    </row>
    <row r="253" spans="2:5" x14ac:dyDescent="0.35">
      <c r="B253"/>
      <c r="C253"/>
      <c r="D253"/>
      <c r="E253"/>
    </row>
    <row r="254" spans="2:5" x14ac:dyDescent="0.35">
      <c r="B254"/>
      <c r="C254"/>
      <c r="D254"/>
      <c r="E254"/>
    </row>
    <row r="255" spans="2:5" x14ac:dyDescent="0.35">
      <c r="B255"/>
      <c r="C255"/>
      <c r="D255"/>
      <c r="E255"/>
    </row>
    <row r="256" spans="2:5" x14ac:dyDescent="0.35">
      <c r="B256"/>
      <c r="C256"/>
      <c r="D256"/>
      <c r="E256"/>
    </row>
    <row r="257" spans="2:5" x14ac:dyDescent="0.35">
      <c r="B257"/>
      <c r="C257"/>
      <c r="D257"/>
      <c r="E257"/>
    </row>
    <row r="258" spans="2:5" x14ac:dyDescent="0.35">
      <c r="B258"/>
      <c r="C258"/>
      <c r="D258"/>
      <c r="E258"/>
    </row>
    <row r="259" spans="2:5" x14ac:dyDescent="0.35">
      <c r="B259"/>
      <c r="C259"/>
      <c r="D259"/>
      <c r="E259"/>
    </row>
    <row r="260" spans="2:5" x14ac:dyDescent="0.35">
      <c r="B260"/>
      <c r="C260"/>
      <c r="D260"/>
      <c r="E260"/>
    </row>
    <row r="261" spans="2:5" x14ac:dyDescent="0.35">
      <c r="B261"/>
      <c r="C261"/>
      <c r="D261"/>
      <c r="E261"/>
    </row>
    <row r="262" spans="2:5" x14ac:dyDescent="0.35">
      <c r="B262"/>
      <c r="C262"/>
      <c r="D262"/>
      <c r="E262"/>
    </row>
    <row r="263" spans="2:5" x14ac:dyDescent="0.35">
      <c r="B263"/>
      <c r="C263"/>
      <c r="D263"/>
      <c r="E263"/>
    </row>
    <row r="264" spans="2:5" x14ac:dyDescent="0.35">
      <c r="B264"/>
      <c r="C264"/>
      <c r="D264"/>
      <c r="E264"/>
    </row>
    <row r="265" spans="2:5" x14ac:dyDescent="0.35">
      <c r="B265"/>
      <c r="C265"/>
      <c r="D265"/>
      <c r="E265"/>
    </row>
    <row r="266" spans="2:5" x14ac:dyDescent="0.35">
      <c r="B266"/>
      <c r="C266"/>
      <c r="D266"/>
      <c r="E266"/>
    </row>
    <row r="267" spans="2:5" x14ac:dyDescent="0.35">
      <c r="B267"/>
      <c r="C267"/>
      <c r="D267"/>
      <c r="E267"/>
    </row>
    <row r="268" spans="2:5" x14ac:dyDescent="0.35">
      <c r="B268"/>
      <c r="C268"/>
      <c r="D268"/>
      <c r="E268"/>
    </row>
    <row r="269" spans="2:5" x14ac:dyDescent="0.35">
      <c r="B269"/>
      <c r="C269"/>
      <c r="D269"/>
      <c r="E269"/>
    </row>
    <row r="270" spans="2:5" x14ac:dyDescent="0.35">
      <c r="B270"/>
      <c r="C270"/>
      <c r="D270"/>
      <c r="E270"/>
    </row>
    <row r="271" spans="2:5" x14ac:dyDescent="0.35">
      <c r="B271"/>
      <c r="C271"/>
      <c r="D271"/>
      <c r="E271"/>
    </row>
    <row r="272" spans="2:5" x14ac:dyDescent="0.35">
      <c r="B272"/>
      <c r="C272"/>
      <c r="D272"/>
      <c r="E272"/>
    </row>
    <row r="273" spans="2:5" x14ac:dyDescent="0.35">
      <c r="B273"/>
      <c r="C273"/>
      <c r="D273"/>
      <c r="E273"/>
    </row>
    <row r="274" spans="2:5" x14ac:dyDescent="0.35">
      <c r="B274"/>
      <c r="C274"/>
      <c r="D274"/>
      <c r="E274"/>
    </row>
    <row r="275" spans="2:5" x14ac:dyDescent="0.35">
      <c r="B275"/>
      <c r="C275"/>
      <c r="D275"/>
      <c r="E275"/>
    </row>
    <row r="276" spans="2:5" x14ac:dyDescent="0.35">
      <c r="B276"/>
      <c r="C276"/>
      <c r="D276"/>
      <c r="E276"/>
    </row>
    <row r="277" spans="2:5" x14ac:dyDescent="0.35">
      <c r="B277"/>
      <c r="C277"/>
      <c r="D277"/>
      <c r="E277"/>
    </row>
    <row r="278" spans="2:5" x14ac:dyDescent="0.35">
      <c r="B278"/>
      <c r="C278"/>
      <c r="D278"/>
      <c r="E278"/>
    </row>
    <row r="279" spans="2:5" x14ac:dyDescent="0.35">
      <c r="B279"/>
      <c r="C279"/>
      <c r="D279"/>
      <c r="E279"/>
    </row>
    <row r="280" spans="2:5" x14ac:dyDescent="0.35">
      <c r="B280"/>
      <c r="C280"/>
      <c r="D280"/>
      <c r="E280"/>
    </row>
    <row r="281" spans="2:5" x14ac:dyDescent="0.35">
      <c r="B281"/>
      <c r="C281"/>
      <c r="D281"/>
      <c r="E281"/>
    </row>
    <row r="282" spans="2:5" x14ac:dyDescent="0.35">
      <c r="B282"/>
      <c r="C282"/>
      <c r="D282"/>
      <c r="E282"/>
    </row>
    <row r="283" spans="2:5" x14ac:dyDescent="0.35">
      <c r="B283"/>
      <c r="C283"/>
      <c r="D283"/>
      <c r="E283"/>
    </row>
    <row r="284" spans="2:5" x14ac:dyDescent="0.35">
      <c r="B284"/>
      <c r="C284"/>
      <c r="D284"/>
      <c r="E284"/>
    </row>
    <row r="285" spans="2:5" x14ac:dyDescent="0.35">
      <c r="B285"/>
      <c r="C285"/>
      <c r="D285"/>
      <c r="E285"/>
    </row>
    <row r="286" spans="2:5" x14ac:dyDescent="0.35">
      <c r="B286"/>
      <c r="C286"/>
      <c r="D286"/>
      <c r="E286"/>
    </row>
    <row r="287" spans="2:5" x14ac:dyDescent="0.35">
      <c r="B287"/>
      <c r="C287"/>
      <c r="D287"/>
      <c r="E287"/>
    </row>
    <row r="288" spans="2:5" x14ac:dyDescent="0.35">
      <c r="B288"/>
      <c r="C288"/>
      <c r="D288"/>
      <c r="E288"/>
    </row>
    <row r="289" spans="2:5" x14ac:dyDescent="0.35">
      <c r="B289"/>
      <c r="C289"/>
      <c r="D289"/>
      <c r="E289"/>
    </row>
    <row r="290" spans="2:5" x14ac:dyDescent="0.35">
      <c r="B290"/>
      <c r="C290"/>
      <c r="D290"/>
      <c r="E290"/>
    </row>
    <row r="291" spans="2:5" x14ac:dyDescent="0.35">
      <c r="B291"/>
      <c r="C291"/>
      <c r="D291"/>
      <c r="E291"/>
    </row>
    <row r="292" spans="2:5" x14ac:dyDescent="0.35">
      <c r="B292"/>
      <c r="C292"/>
      <c r="D292"/>
      <c r="E292"/>
    </row>
    <row r="293" spans="2:5" x14ac:dyDescent="0.35">
      <c r="B293"/>
      <c r="C293"/>
      <c r="D293"/>
      <c r="E293"/>
    </row>
    <row r="294" spans="2:5" x14ac:dyDescent="0.35">
      <c r="B294"/>
      <c r="C294"/>
      <c r="D294"/>
      <c r="E294"/>
    </row>
    <row r="295" spans="2:5" x14ac:dyDescent="0.35">
      <c r="B295"/>
      <c r="C295"/>
      <c r="D295"/>
      <c r="E295"/>
    </row>
    <row r="296" spans="2:5" x14ac:dyDescent="0.35">
      <c r="B296"/>
      <c r="C296"/>
      <c r="D296"/>
      <c r="E296"/>
    </row>
    <row r="297" spans="2:5" x14ac:dyDescent="0.35">
      <c r="B297"/>
      <c r="C297"/>
      <c r="D297"/>
      <c r="E297"/>
    </row>
    <row r="298" spans="2:5" x14ac:dyDescent="0.35">
      <c r="B298"/>
      <c r="C298"/>
      <c r="D298"/>
      <c r="E298"/>
    </row>
    <row r="299" spans="2:5" x14ac:dyDescent="0.35">
      <c r="B299"/>
      <c r="C299"/>
      <c r="D299"/>
      <c r="E299"/>
    </row>
    <row r="300" spans="2:5" x14ac:dyDescent="0.35">
      <c r="B300"/>
      <c r="C300"/>
      <c r="D300"/>
      <c r="E300"/>
    </row>
    <row r="301" spans="2:5" x14ac:dyDescent="0.35">
      <c r="B301"/>
      <c r="C301"/>
      <c r="D301"/>
      <c r="E301"/>
    </row>
    <row r="302" spans="2:5" x14ac:dyDescent="0.35">
      <c r="B302"/>
      <c r="C302"/>
      <c r="D302"/>
      <c r="E302"/>
    </row>
    <row r="303" spans="2:5" x14ac:dyDescent="0.35">
      <c r="B303"/>
      <c r="C303"/>
      <c r="D303"/>
      <c r="E303"/>
    </row>
    <row r="304" spans="2:5" x14ac:dyDescent="0.35">
      <c r="B304"/>
      <c r="C304"/>
      <c r="D304"/>
      <c r="E304"/>
    </row>
    <row r="305" spans="2:5" x14ac:dyDescent="0.35">
      <c r="B305"/>
      <c r="C305"/>
      <c r="D305"/>
      <c r="E305"/>
    </row>
    <row r="306" spans="2:5" x14ac:dyDescent="0.35">
      <c r="B306"/>
      <c r="C306"/>
      <c r="D306"/>
      <c r="E306"/>
    </row>
    <row r="307" spans="2:5" x14ac:dyDescent="0.35">
      <c r="B307"/>
      <c r="C307"/>
      <c r="D307"/>
      <c r="E307"/>
    </row>
    <row r="308" spans="2:5" x14ac:dyDescent="0.35">
      <c r="B308"/>
      <c r="C308"/>
      <c r="D308"/>
      <c r="E308"/>
    </row>
    <row r="309" spans="2:5" x14ac:dyDescent="0.35">
      <c r="B309"/>
      <c r="C309"/>
      <c r="D309"/>
      <c r="E309"/>
    </row>
    <row r="310" spans="2:5" x14ac:dyDescent="0.35">
      <c r="B310"/>
      <c r="C310"/>
      <c r="D310"/>
      <c r="E310"/>
    </row>
    <row r="311" spans="2:5" x14ac:dyDescent="0.35">
      <c r="B311"/>
      <c r="C311"/>
      <c r="D311"/>
      <c r="E311"/>
    </row>
    <row r="312" spans="2:5" x14ac:dyDescent="0.35">
      <c r="B312"/>
      <c r="C312"/>
      <c r="D312"/>
      <c r="E312"/>
    </row>
    <row r="313" spans="2:5" x14ac:dyDescent="0.35">
      <c r="B313"/>
      <c r="C313"/>
      <c r="D313"/>
      <c r="E313"/>
    </row>
    <row r="314" spans="2:5" x14ac:dyDescent="0.35">
      <c r="B314"/>
      <c r="C314"/>
      <c r="D314"/>
      <c r="E314"/>
    </row>
    <row r="315" spans="2:5" x14ac:dyDescent="0.35">
      <c r="B315"/>
      <c r="C315"/>
      <c r="D315"/>
      <c r="E315"/>
    </row>
    <row r="316" spans="2:5" x14ac:dyDescent="0.35">
      <c r="B316"/>
      <c r="C316"/>
      <c r="D316"/>
      <c r="E316"/>
    </row>
    <row r="317" spans="2:5" x14ac:dyDescent="0.35">
      <c r="B317"/>
      <c r="C317"/>
      <c r="D317"/>
      <c r="E317"/>
    </row>
    <row r="318" spans="2:5" x14ac:dyDescent="0.35">
      <c r="B318"/>
      <c r="C318"/>
      <c r="D318"/>
      <c r="E318"/>
    </row>
    <row r="319" spans="2:5" x14ac:dyDescent="0.35">
      <c r="B319"/>
      <c r="C319"/>
      <c r="D319"/>
      <c r="E31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17743-CE35-4B9C-B06A-DF252DBBB79A}">
  <sheetPr>
    <tabColor theme="9"/>
  </sheetPr>
  <dimension ref="A1:BB1004"/>
  <sheetViews>
    <sheetView showGridLines="0" topLeftCell="AM1" zoomScale="90" zoomScaleNormal="90" workbookViewId="0">
      <selection activeCell="AQ6" sqref="AQ6"/>
    </sheetView>
  </sheetViews>
  <sheetFormatPr defaultColWidth="8.81640625" defaultRowHeight="14.5" x14ac:dyDescent="0.35"/>
  <cols>
    <col min="1" max="4" width="8.81640625" style="2"/>
    <col min="5" max="5" width="12" style="2" customWidth="1"/>
    <col min="6" max="8" width="8.81640625" style="2"/>
    <col min="9" max="9" width="10.54296875" style="2" customWidth="1"/>
    <col min="10" max="10" width="8.81640625" style="2"/>
    <col min="11" max="11" width="9" style="2" customWidth="1"/>
    <col min="12" max="12" width="12" style="2" customWidth="1"/>
    <col min="13" max="13" width="12.54296875" style="2" customWidth="1"/>
    <col min="14" max="14" width="8.81640625" style="2"/>
    <col min="15" max="15" width="10.36328125" style="2" customWidth="1"/>
    <col min="16" max="17" width="8.81640625" style="2"/>
    <col min="18" max="18" width="11.453125" style="2" customWidth="1"/>
    <col min="19" max="19" width="10.453125" style="2" customWidth="1"/>
    <col min="20" max="20" width="8.81640625" style="2"/>
    <col min="21" max="21" width="11.54296875" style="2" customWidth="1"/>
    <col min="22" max="22" width="8.81640625" style="2"/>
    <col min="23" max="23" width="10.453125" style="2" customWidth="1"/>
    <col min="24" max="24" width="10.81640625" style="2" customWidth="1"/>
    <col min="25" max="25" width="20.81640625" style="2" customWidth="1"/>
    <col min="26" max="27" width="8.81640625" style="2"/>
    <col min="28" max="28" width="12.1796875" style="2" bestFit="1" customWidth="1"/>
    <col min="29" max="29" width="8.81640625" style="2"/>
    <col min="30" max="30" width="11.453125" style="2" customWidth="1"/>
    <col min="31" max="39" width="8.81640625" style="2"/>
    <col min="40" max="40" width="12.1796875" style="2" bestFit="1" customWidth="1"/>
    <col min="41" max="41" width="8.81640625" style="2"/>
    <col min="42" max="42" width="11.453125" style="2" customWidth="1"/>
    <col min="43" max="44" width="8.81640625" style="2"/>
    <col min="45" max="45" width="9.54296875" style="2" customWidth="1"/>
    <col min="46" max="46" width="10.81640625" style="2" customWidth="1"/>
    <col min="47" max="47" width="11.81640625" style="2" customWidth="1"/>
    <col min="48" max="49" width="8.81640625" style="2"/>
    <col min="50" max="50" width="11.453125" style="2" customWidth="1"/>
    <col min="51" max="51" width="12" style="2" customWidth="1"/>
    <col min="52" max="52" width="8.81640625" style="2"/>
    <col min="53" max="53" width="11.1796875" style="2" customWidth="1"/>
    <col min="54" max="54" width="12.54296875" style="2" bestFit="1" customWidth="1"/>
    <col min="55" max="16384" width="8.81640625" style="2"/>
  </cols>
  <sheetData>
    <row r="1" spans="1:54" x14ac:dyDescent="0.35">
      <c r="A1" s="42" t="s">
        <v>0</v>
      </c>
      <c r="B1" s="42"/>
      <c r="C1" s="42"/>
      <c r="D1" s="42"/>
    </row>
    <row r="3" spans="1:54" x14ac:dyDescent="0.35">
      <c r="A3" s="3" t="s">
        <v>501</v>
      </c>
      <c r="B3" s="3"/>
      <c r="C3" s="3"/>
      <c r="D3" s="3"/>
      <c r="K3" s="3" t="s">
        <v>619</v>
      </c>
      <c r="R3" s="3" t="s">
        <v>502</v>
      </c>
      <c r="AD3" s="3" t="s">
        <v>503</v>
      </c>
      <c r="AP3" s="3" t="s">
        <v>504</v>
      </c>
      <c r="AW3" s="3" t="s">
        <v>648</v>
      </c>
    </row>
    <row r="4" spans="1:54" x14ac:dyDescent="0.35">
      <c r="A4" s="2" t="s">
        <v>505</v>
      </c>
      <c r="B4" s="2" t="s">
        <v>4</v>
      </c>
      <c r="C4" s="2" t="s">
        <v>5</v>
      </c>
      <c r="D4" s="2" t="s">
        <v>7</v>
      </c>
      <c r="E4" s="2" t="s">
        <v>506</v>
      </c>
      <c r="F4" s="2" t="s">
        <v>507</v>
      </c>
      <c r="G4" s="2" t="s">
        <v>508</v>
      </c>
      <c r="H4" s="78" t="s">
        <v>16</v>
      </c>
      <c r="I4" s="78" t="s">
        <v>631</v>
      </c>
      <c r="K4" s="68" t="s">
        <v>505</v>
      </c>
      <c r="L4" s="69" t="s">
        <v>4</v>
      </c>
      <c r="M4" s="69" t="s">
        <v>5</v>
      </c>
      <c r="N4" s="69" t="s">
        <v>7</v>
      </c>
      <c r="O4" s="69" t="s">
        <v>619</v>
      </c>
      <c r="P4" s="70" t="s">
        <v>508</v>
      </c>
      <c r="R4" s="2" t="s">
        <v>509</v>
      </c>
      <c r="S4" s="2" t="s">
        <v>510</v>
      </c>
      <c r="T4" s="2" t="s">
        <v>505</v>
      </c>
      <c r="U4" s="2" t="s">
        <v>4</v>
      </c>
      <c r="V4" s="2" t="s">
        <v>511</v>
      </c>
      <c r="W4" s="2" t="s">
        <v>7</v>
      </c>
      <c r="X4" s="2" t="s">
        <v>512</v>
      </c>
      <c r="Y4" s="2" t="s">
        <v>513</v>
      </c>
      <c r="Z4" s="2" t="s">
        <v>507</v>
      </c>
      <c r="AA4" s="2" t="s">
        <v>514</v>
      </c>
      <c r="AB4" s="40" t="s">
        <v>16</v>
      </c>
      <c r="AD4" s="2" t="s">
        <v>509</v>
      </c>
      <c r="AE4" s="2" t="s">
        <v>510</v>
      </c>
      <c r="AF4" s="2" t="s">
        <v>505</v>
      </c>
      <c r="AG4" s="2" t="s">
        <v>4</v>
      </c>
      <c r="AH4" s="2" t="s">
        <v>511</v>
      </c>
      <c r="AI4" s="2" t="s">
        <v>7</v>
      </c>
      <c r="AJ4" s="2" t="s">
        <v>515</v>
      </c>
      <c r="AK4" s="2" t="s">
        <v>516</v>
      </c>
      <c r="AL4" s="2" t="s">
        <v>507</v>
      </c>
      <c r="AM4" s="2" t="s">
        <v>514</v>
      </c>
      <c r="AN4" s="40" t="s">
        <v>16</v>
      </c>
      <c r="AP4" s="2" t="s">
        <v>4</v>
      </c>
      <c r="AQ4" s="2" t="s">
        <v>511</v>
      </c>
      <c r="AR4" s="2" t="s">
        <v>7</v>
      </c>
      <c r="AS4" s="2" t="s">
        <v>517</v>
      </c>
      <c r="AT4" s="2" t="s">
        <v>515</v>
      </c>
      <c r="AU4" s="40" t="s">
        <v>16</v>
      </c>
      <c r="AW4" s="69" t="s">
        <v>4</v>
      </c>
      <c r="AX4" s="69" t="s">
        <v>5</v>
      </c>
      <c r="AY4" s="69" t="s">
        <v>649</v>
      </c>
      <c r="AZ4" s="69" t="s">
        <v>507</v>
      </c>
      <c r="BA4" s="69" t="s">
        <v>508</v>
      </c>
      <c r="BB4" s="22" t="s">
        <v>16</v>
      </c>
    </row>
    <row r="5" spans="1:54" x14ac:dyDescent="0.35">
      <c r="A5" s="2" t="s">
        <v>518</v>
      </c>
      <c r="B5" s="2" t="s">
        <v>76</v>
      </c>
      <c r="C5" s="2" t="s">
        <v>77</v>
      </c>
      <c r="D5" s="2" t="s">
        <v>194</v>
      </c>
      <c r="E5" s="2" t="s">
        <v>67</v>
      </c>
      <c r="F5" s="2">
        <v>132</v>
      </c>
      <c r="G5" s="2">
        <v>64</v>
      </c>
      <c r="H5" s="14" t="str">
        <f>VLOOKUP(flu_group[[#This Row],[trust_code]],trust_lookup[],3,0)</f>
        <v>Epsom</v>
      </c>
      <c r="I5" s="14" t="str">
        <f>VLOOKUP(flu_group[[#This Row],[trust_code]],trust_lookup[],4,0)</f>
        <v>Acute</v>
      </c>
      <c r="K5" s="65" t="s">
        <v>518</v>
      </c>
      <c r="L5" s="66" t="s">
        <v>83</v>
      </c>
      <c r="M5" s="66" t="s">
        <v>84</v>
      </c>
      <c r="N5" s="66" t="s">
        <v>27</v>
      </c>
      <c r="O5" s="66" t="s">
        <v>68</v>
      </c>
      <c r="P5" s="67">
        <v>1050</v>
      </c>
      <c r="R5" s="43">
        <v>45537</v>
      </c>
      <c r="S5" s="2">
        <v>36</v>
      </c>
      <c r="T5" s="2" t="s">
        <v>519</v>
      </c>
      <c r="U5" s="2" t="s">
        <v>30</v>
      </c>
      <c r="V5" s="2" t="s">
        <v>31</v>
      </c>
      <c r="W5" s="2" t="s">
        <v>190</v>
      </c>
      <c r="X5" s="23">
        <v>1</v>
      </c>
      <c r="Y5" s="23">
        <v>1</v>
      </c>
      <c r="Z5" s="23">
        <v>6933</v>
      </c>
      <c r="AA5" s="24">
        <v>1.44237703735756E-4</v>
      </c>
      <c r="AB5" s="14" t="str">
        <f>VLOOKUP(flu_aw24[[#This Row],[trust_code]],trust_lookup[],3,0)</f>
        <v>BHR</v>
      </c>
      <c r="AD5" s="43">
        <v>45915</v>
      </c>
      <c r="AE5" s="2">
        <v>38</v>
      </c>
      <c r="AF5" s="2" t="s">
        <v>518</v>
      </c>
      <c r="AG5" s="2" t="s">
        <v>107</v>
      </c>
      <c r="AH5" s="2" t="s">
        <v>108</v>
      </c>
      <c r="AI5" s="2" t="s">
        <v>193</v>
      </c>
      <c r="AJ5" s="23">
        <v>4</v>
      </c>
      <c r="AK5" s="23">
        <v>4</v>
      </c>
      <c r="AL5" s="23">
        <v>9605</v>
      </c>
      <c r="AM5" s="24">
        <v>4.16449765747006E-4</v>
      </c>
      <c r="AN5" s="44" t="str">
        <f>VLOOKUP(flu_aw25[[#This Row],[trust_code]],trust_lookup[],3,0)</f>
        <v>King's</v>
      </c>
      <c r="AP5" s="2" t="s">
        <v>25</v>
      </c>
      <c r="AQ5" s="2" t="s">
        <v>26</v>
      </c>
      <c r="AR5" s="2" t="s">
        <v>27</v>
      </c>
      <c r="AS5" s="2" t="s">
        <v>520</v>
      </c>
      <c r="AT5" s="2">
        <v>397</v>
      </c>
      <c r="AU5" s="44" t="str">
        <f>VLOOKUP(flu_location[[#This Row],[trust_code]],trust_lookup[],3,0)</f>
        <v>CNWL</v>
      </c>
      <c r="AW5" s="65" t="s">
        <v>30</v>
      </c>
      <c r="AX5" s="66" t="s">
        <v>31</v>
      </c>
      <c r="AY5" s="66" t="s">
        <v>650</v>
      </c>
      <c r="AZ5" s="66">
        <v>298</v>
      </c>
      <c r="BA5" s="66">
        <v>79</v>
      </c>
      <c r="BB5" s="44" t="str">
        <f>VLOOKUP(age_group[[#This Row],[trust_code]],trust_lookup[],3,0)</f>
        <v>BHR</v>
      </c>
    </row>
    <row r="6" spans="1:54" x14ac:dyDescent="0.35">
      <c r="A6" s="2" t="s">
        <v>518</v>
      </c>
      <c r="B6" s="2" t="s">
        <v>37</v>
      </c>
      <c r="C6" s="2" t="s">
        <v>38</v>
      </c>
      <c r="D6" s="2" t="s">
        <v>190</v>
      </c>
      <c r="E6" s="2" t="s">
        <v>67</v>
      </c>
      <c r="F6" s="2">
        <v>935</v>
      </c>
      <c r="G6" s="2">
        <v>266</v>
      </c>
      <c r="H6" s="14" t="str">
        <f>VLOOKUP(flu_group[[#This Row],[trust_code]],trust_lookup[],3,0)</f>
        <v>Barts</v>
      </c>
      <c r="I6" s="14" t="str">
        <f>VLOOKUP(flu_group[[#This Row],[trust_code]],trust_lookup[],4,0)</f>
        <v>Acute</v>
      </c>
      <c r="K6" s="2" t="s">
        <v>518</v>
      </c>
      <c r="L6" s="2" t="s">
        <v>83</v>
      </c>
      <c r="M6" s="2" t="s">
        <v>84</v>
      </c>
      <c r="N6" s="2" t="s">
        <v>27</v>
      </c>
      <c r="O6" s="2" t="s">
        <v>135</v>
      </c>
      <c r="P6" s="2">
        <v>59</v>
      </c>
      <c r="R6" s="43">
        <v>45544</v>
      </c>
      <c r="S6" s="2">
        <v>37</v>
      </c>
      <c r="T6" s="2" t="s">
        <v>519</v>
      </c>
      <c r="U6" s="2" t="s">
        <v>30</v>
      </c>
      <c r="V6" s="2" t="s">
        <v>31</v>
      </c>
      <c r="W6" s="2" t="s">
        <v>190</v>
      </c>
      <c r="X6" s="23">
        <v>3</v>
      </c>
      <c r="Y6" s="23">
        <v>4</v>
      </c>
      <c r="Z6" s="23">
        <v>6933</v>
      </c>
      <c r="AA6" s="24">
        <v>5.7695081494302605E-4</v>
      </c>
      <c r="AB6" s="14" t="str">
        <f>VLOOKUP(flu_aw24[[#This Row],[trust_code]],trust_lookup[],3,0)</f>
        <v>BHR</v>
      </c>
      <c r="AD6" s="43">
        <v>45922</v>
      </c>
      <c r="AE6" s="2">
        <v>39</v>
      </c>
      <c r="AF6" s="2" t="s">
        <v>518</v>
      </c>
      <c r="AG6" s="2" t="s">
        <v>107</v>
      </c>
      <c r="AH6" s="2" t="s">
        <v>108</v>
      </c>
      <c r="AI6" s="2" t="s">
        <v>193</v>
      </c>
      <c r="AJ6" s="23">
        <v>3</v>
      </c>
      <c r="AK6" s="23">
        <v>7</v>
      </c>
      <c r="AL6" s="23">
        <v>9605</v>
      </c>
      <c r="AM6" s="24">
        <v>7.2878709005726097E-4</v>
      </c>
      <c r="AN6" s="44" t="str">
        <f>VLOOKUP(flu_aw25[[#This Row],[trust_code]],trust_lookup[],3,0)</f>
        <v>King's</v>
      </c>
      <c r="AP6" s="2" t="s">
        <v>25</v>
      </c>
      <c r="AQ6" s="2" t="s">
        <v>26</v>
      </c>
      <c r="AR6" s="2" t="s">
        <v>27</v>
      </c>
      <c r="AS6" s="2" t="s">
        <v>521</v>
      </c>
      <c r="AT6" s="2">
        <v>965</v>
      </c>
      <c r="AU6" s="44" t="str">
        <f>VLOOKUP(flu_location[[#This Row],[trust_code]],trust_lookup[],3,0)</f>
        <v>CNWL</v>
      </c>
      <c r="AW6" s="2" t="s">
        <v>30</v>
      </c>
      <c r="AX6" s="2" t="s">
        <v>31</v>
      </c>
      <c r="AY6" s="2" t="s">
        <v>651</v>
      </c>
      <c r="AZ6" s="2">
        <v>824</v>
      </c>
      <c r="BA6" s="2">
        <v>298</v>
      </c>
      <c r="BB6" s="44" t="str">
        <f>VLOOKUP(age_group[[#This Row],[trust_code]],trust_lookup[],3,0)</f>
        <v>BHR</v>
      </c>
    </row>
    <row r="7" spans="1:54" x14ac:dyDescent="0.35">
      <c r="A7" s="2" t="s">
        <v>518</v>
      </c>
      <c r="B7" s="2" t="s">
        <v>167</v>
      </c>
      <c r="C7" s="2" t="s">
        <v>168</v>
      </c>
      <c r="D7" s="2" t="s">
        <v>194</v>
      </c>
      <c r="E7" s="2" t="s">
        <v>67</v>
      </c>
      <c r="F7" s="2">
        <v>398</v>
      </c>
      <c r="G7" s="2">
        <v>174</v>
      </c>
      <c r="H7" s="14" t="str">
        <f>VLOOKUP(flu_group[[#This Row],[trust_code]],trust_lookup[],3,0)</f>
        <v>SWL&amp;StG</v>
      </c>
      <c r="I7" s="14" t="str">
        <f>VLOOKUP(flu_group[[#This Row],[trust_code]],trust_lookup[],4,0)</f>
        <v>Mental Health</v>
      </c>
      <c r="K7" s="2" t="s">
        <v>518</v>
      </c>
      <c r="L7" s="2" t="s">
        <v>83</v>
      </c>
      <c r="M7" s="2" t="s">
        <v>84</v>
      </c>
      <c r="N7" s="2" t="s">
        <v>27</v>
      </c>
      <c r="O7" s="2" t="s">
        <v>54</v>
      </c>
      <c r="P7" s="2">
        <v>277</v>
      </c>
      <c r="R7" s="43">
        <v>45551</v>
      </c>
      <c r="S7" s="2">
        <v>38</v>
      </c>
      <c r="T7" s="2" t="s">
        <v>519</v>
      </c>
      <c r="U7" s="2" t="s">
        <v>30</v>
      </c>
      <c r="V7" s="2" t="s">
        <v>31</v>
      </c>
      <c r="W7" s="2" t="s">
        <v>190</v>
      </c>
      <c r="X7" s="23">
        <v>133</v>
      </c>
      <c r="Y7" s="23">
        <v>137</v>
      </c>
      <c r="Z7" s="23">
        <v>6933</v>
      </c>
      <c r="AA7" s="24">
        <v>1.9760565411798599E-2</v>
      </c>
      <c r="AB7" s="14" t="str">
        <f>VLOOKUP(flu_aw24[[#This Row],[trust_code]],trust_lookup[],3,0)</f>
        <v>BHR</v>
      </c>
      <c r="AD7" s="43">
        <v>45929</v>
      </c>
      <c r="AE7" s="2">
        <v>40</v>
      </c>
      <c r="AF7" s="2" t="s">
        <v>518</v>
      </c>
      <c r="AG7" s="2" t="s">
        <v>107</v>
      </c>
      <c r="AH7" s="2" t="s">
        <v>108</v>
      </c>
      <c r="AI7" s="2" t="s">
        <v>193</v>
      </c>
      <c r="AJ7" s="23">
        <v>504</v>
      </c>
      <c r="AK7" s="23">
        <v>511</v>
      </c>
      <c r="AL7" s="23">
        <v>9605</v>
      </c>
      <c r="AM7" s="24">
        <v>5.32014575741801E-2</v>
      </c>
      <c r="AN7" s="44" t="str">
        <f>VLOOKUP(flu_aw25[[#This Row],[trust_code]],trust_lookup[],3,0)</f>
        <v>King's</v>
      </c>
      <c r="AP7" s="2" t="s">
        <v>25</v>
      </c>
      <c r="AQ7" s="2" t="s">
        <v>26</v>
      </c>
      <c r="AR7" s="2" t="s">
        <v>27</v>
      </c>
      <c r="AS7" s="2" t="s">
        <v>522</v>
      </c>
      <c r="AT7" s="2">
        <v>654</v>
      </c>
      <c r="AU7" s="44" t="str">
        <f>VLOOKUP(flu_location[[#This Row],[trust_code]],trust_lookup[],3,0)</f>
        <v>CNWL</v>
      </c>
      <c r="AW7" s="2" t="s">
        <v>30</v>
      </c>
      <c r="AX7" s="2" t="s">
        <v>31</v>
      </c>
      <c r="AY7" s="2" t="s">
        <v>652</v>
      </c>
      <c r="AZ7" s="2">
        <v>937</v>
      </c>
      <c r="BA7" s="2">
        <v>350</v>
      </c>
      <c r="BB7" s="44" t="str">
        <f>VLOOKUP(age_group[[#This Row],[trust_code]],trust_lookup[],3,0)</f>
        <v>BHR</v>
      </c>
    </row>
    <row r="8" spans="1:54" x14ac:dyDescent="0.35">
      <c r="A8" s="2" t="s">
        <v>518</v>
      </c>
      <c r="B8" s="2" t="s">
        <v>95</v>
      </c>
      <c r="C8" s="2" t="s">
        <v>96</v>
      </c>
      <c r="D8" s="2" t="s">
        <v>190</v>
      </c>
      <c r="E8" s="2" t="s">
        <v>67</v>
      </c>
      <c r="F8" s="2">
        <v>206</v>
      </c>
      <c r="G8" s="2">
        <v>96</v>
      </c>
      <c r="H8" s="14" t="str">
        <f>VLOOKUP(flu_group[[#This Row],[trust_code]],trust_lookup[],3,0)</f>
        <v>Homerton</v>
      </c>
      <c r="I8" s="14" t="str">
        <f>VLOOKUP(flu_group[[#This Row],[trust_code]],trust_lookup[],4,0)</f>
        <v>Acute</v>
      </c>
      <c r="K8" s="2" t="s">
        <v>518</v>
      </c>
      <c r="L8" s="2" t="s">
        <v>83</v>
      </c>
      <c r="M8" s="2" t="s">
        <v>84</v>
      </c>
      <c r="N8" s="2" t="s">
        <v>27</v>
      </c>
      <c r="O8" s="2" t="s">
        <v>129</v>
      </c>
      <c r="P8" s="2">
        <v>5</v>
      </c>
      <c r="R8" s="43">
        <v>45558</v>
      </c>
      <c r="S8" s="2">
        <v>39</v>
      </c>
      <c r="T8" s="2" t="s">
        <v>519</v>
      </c>
      <c r="U8" s="2" t="s">
        <v>30</v>
      </c>
      <c r="V8" s="2" t="s">
        <v>31</v>
      </c>
      <c r="W8" s="2" t="s">
        <v>190</v>
      </c>
      <c r="X8" s="23">
        <v>149</v>
      </c>
      <c r="Y8" s="23">
        <v>286</v>
      </c>
      <c r="Z8" s="23">
        <v>6933</v>
      </c>
      <c r="AA8" s="24">
        <v>4.1251983268426301E-2</v>
      </c>
      <c r="AB8" s="14" t="str">
        <f>VLOOKUP(flu_aw24[[#This Row],[trust_code]],trust_lookup[],3,0)</f>
        <v>BHR</v>
      </c>
      <c r="AD8" s="43">
        <v>45936</v>
      </c>
      <c r="AE8" s="2">
        <v>41</v>
      </c>
      <c r="AF8" s="2" t="s">
        <v>518</v>
      </c>
      <c r="AG8" s="2" t="s">
        <v>107</v>
      </c>
      <c r="AH8" s="2" t="s">
        <v>108</v>
      </c>
      <c r="AI8" s="2" t="s">
        <v>193</v>
      </c>
      <c r="AJ8" s="23">
        <v>776</v>
      </c>
      <c r="AK8" s="23">
        <v>1287</v>
      </c>
      <c r="AL8" s="23">
        <v>9605</v>
      </c>
      <c r="AM8" s="24">
        <v>0.133992712129099</v>
      </c>
      <c r="AN8" s="44" t="str">
        <f>VLOOKUP(flu_aw25[[#This Row],[trust_code]],trust_lookup[],3,0)</f>
        <v>King's</v>
      </c>
      <c r="AP8" s="2" t="s">
        <v>25</v>
      </c>
      <c r="AQ8" s="2" t="s">
        <v>26</v>
      </c>
      <c r="AR8" s="2" t="s">
        <v>27</v>
      </c>
      <c r="AS8" s="2" t="s">
        <v>524</v>
      </c>
      <c r="AT8" s="2">
        <v>4</v>
      </c>
      <c r="AU8" s="44" t="str">
        <f>VLOOKUP(flu_location[[#This Row],[trust_code]],trust_lookup[],3,0)</f>
        <v>CNWL</v>
      </c>
      <c r="AW8" s="2" t="s">
        <v>30</v>
      </c>
      <c r="AX8" s="2" t="s">
        <v>31</v>
      </c>
      <c r="AY8" s="2" t="s">
        <v>653</v>
      </c>
      <c r="AZ8" s="2">
        <v>926</v>
      </c>
      <c r="BA8" s="2">
        <v>368</v>
      </c>
      <c r="BB8" s="44" t="str">
        <f>VLOOKUP(age_group[[#This Row],[trust_code]],trust_lookup[],3,0)</f>
        <v>BHR</v>
      </c>
    </row>
    <row r="9" spans="1:54" x14ac:dyDescent="0.35">
      <c r="A9" s="2" t="s">
        <v>518</v>
      </c>
      <c r="B9" s="2" t="s">
        <v>182</v>
      </c>
      <c r="C9" s="2" t="s">
        <v>183</v>
      </c>
      <c r="D9" s="2" t="s">
        <v>27</v>
      </c>
      <c r="E9" s="2" t="s">
        <v>67</v>
      </c>
      <c r="F9" s="2">
        <v>412</v>
      </c>
      <c r="G9" s="2">
        <v>180</v>
      </c>
      <c r="H9" s="14" t="str">
        <f>VLOOKUP(flu_group[[#This Row],[trust_code]],trust_lookup[],3,0)</f>
        <v>UCLH</v>
      </c>
      <c r="I9" s="14" t="str">
        <f>VLOOKUP(flu_group[[#This Row],[trust_code]],trust_lookup[],4,0)</f>
        <v>Acute</v>
      </c>
      <c r="K9" s="2" t="s">
        <v>518</v>
      </c>
      <c r="L9" s="2" t="s">
        <v>83</v>
      </c>
      <c r="M9" s="2" t="s">
        <v>84</v>
      </c>
      <c r="N9" s="2" t="s">
        <v>27</v>
      </c>
      <c r="O9" s="2" t="s">
        <v>47</v>
      </c>
      <c r="P9" s="2">
        <v>6</v>
      </c>
      <c r="R9" s="43">
        <v>45565</v>
      </c>
      <c r="S9" s="2">
        <v>40</v>
      </c>
      <c r="T9" s="2" t="s">
        <v>519</v>
      </c>
      <c r="U9" s="2" t="s">
        <v>30</v>
      </c>
      <c r="V9" s="2" t="s">
        <v>31</v>
      </c>
      <c r="W9" s="2" t="s">
        <v>190</v>
      </c>
      <c r="X9" s="23">
        <v>281</v>
      </c>
      <c r="Y9" s="23">
        <v>567</v>
      </c>
      <c r="Z9" s="23">
        <v>6933</v>
      </c>
      <c r="AA9" s="24">
        <v>8.1782778018173893E-2</v>
      </c>
      <c r="AB9" s="14" t="str">
        <f>VLOOKUP(flu_aw24[[#This Row],[trust_code]],trust_lookup[],3,0)</f>
        <v>BHR</v>
      </c>
      <c r="AD9" s="43">
        <v>45943</v>
      </c>
      <c r="AE9" s="2">
        <v>42</v>
      </c>
      <c r="AF9" s="2" t="s">
        <v>518</v>
      </c>
      <c r="AG9" s="2" t="s">
        <v>107</v>
      </c>
      <c r="AH9" s="2" t="s">
        <v>108</v>
      </c>
      <c r="AI9" s="2" t="s">
        <v>193</v>
      </c>
      <c r="AJ9" s="23">
        <v>633</v>
      </c>
      <c r="AK9" s="23">
        <v>1920</v>
      </c>
      <c r="AL9" s="23">
        <v>9605</v>
      </c>
      <c r="AM9" s="24">
        <v>0.199895887558563</v>
      </c>
      <c r="AN9" s="44" t="str">
        <f>VLOOKUP(flu_aw25[[#This Row],[trust_code]],trust_lookup[],3,0)</f>
        <v>King's</v>
      </c>
      <c r="AP9" s="2" t="s">
        <v>83</v>
      </c>
      <c r="AQ9" s="2" t="s">
        <v>84</v>
      </c>
      <c r="AR9" s="2" t="s">
        <v>27</v>
      </c>
      <c r="AS9" s="2" t="s">
        <v>520</v>
      </c>
      <c r="AT9" s="2">
        <v>187</v>
      </c>
      <c r="AU9" s="44" t="str">
        <f>VLOOKUP(flu_location[[#This Row],[trust_code]],trust_lookup[],3,0)</f>
        <v>GOSH</v>
      </c>
      <c r="AW9" s="2" t="s">
        <v>30</v>
      </c>
      <c r="AX9" s="2" t="s">
        <v>31</v>
      </c>
      <c r="AY9" s="2" t="s">
        <v>654</v>
      </c>
      <c r="AZ9" s="2">
        <v>827</v>
      </c>
      <c r="BA9" s="2">
        <v>279</v>
      </c>
      <c r="BB9" s="44" t="str">
        <f>VLOOKUP(age_group[[#This Row],[trust_code]],trust_lookup[],3,0)</f>
        <v>BHR</v>
      </c>
    </row>
    <row r="10" spans="1:54" x14ac:dyDescent="0.35">
      <c r="A10" s="2" t="s">
        <v>518</v>
      </c>
      <c r="B10" s="2" t="s">
        <v>83</v>
      </c>
      <c r="C10" s="2" t="s">
        <v>84</v>
      </c>
      <c r="D10" s="2" t="s">
        <v>27</v>
      </c>
      <c r="E10" s="2" t="s">
        <v>67</v>
      </c>
      <c r="F10" s="2">
        <v>331</v>
      </c>
      <c r="G10" s="2">
        <v>201</v>
      </c>
      <c r="H10" s="14" t="str">
        <f>VLOOKUP(flu_group[[#This Row],[trust_code]],trust_lookup[],3,0)</f>
        <v>GOSH</v>
      </c>
      <c r="I10" s="14" t="str">
        <f>VLOOKUP(flu_group[[#This Row],[trust_code]],trust_lookup[],4,0)</f>
        <v>Specialist</v>
      </c>
      <c r="K10" s="2" t="s">
        <v>518</v>
      </c>
      <c r="L10" s="2" t="s">
        <v>83</v>
      </c>
      <c r="M10" s="2" t="s">
        <v>84</v>
      </c>
      <c r="N10" s="2" t="s">
        <v>27</v>
      </c>
      <c r="O10" s="2" t="s">
        <v>94</v>
      </c>
      <c r="P10" s="2">
        <v>21</v>
      </c>
      <c r="R10" s="43">
        <v>45572</v>
      </c>
      <c r="S10" s="2">
        <v>41</v>
      </c>
      <c r="T10" s="2" t="s">
        <v>519</v>
      </c>
      <c r="U10" s="2" t="s">
        <v>30</v>
      </c>
      <c r="V10" s="2" t="s">
        <v>31</v>
      </c>
      <c r="W10" s="2" t="s">
        <v>190</v>
      </c>
      <c r="X10" s="23">
        <v>442</v>
      </c>
      <c r="Y10" s="23">
        <v>1009</v>
      </c>
      <c r="Z10" s="23">
        <v>6933</v>
      </c>
      <c r="AA10" s="24">
        <v>0.145535843069378</v>
      </c>
      <c r="AB10" s="14" t="str">
        <f>VLOOKUP(flu_aw24[[#This Row],[trust_code]],trust_lookup[],3,0)</f>
        <v>BHR</v>
      </c>
      <c r="AD10" s="43">
        <v>45950</v>
      </c>
      <c r="AE10" s="2">
        <v>43</v>
      </c>
      <c r="AF10" s="2" t="s">
        <v>518</v>
      </c>
      <c r="AG10" s="2" t="s">
        <v>107</v>
      </c>
      <c r="AH10" s="2" t="s">
        <v>108</v>
      </c>
      <c r="AI10" s="2" t="s">
        <v>193</v>
      </c>
      <c r="AJ10" s="23">
        <v>424</v>
      </c>
      <c r="AK10" s="23">
        <v>2344</v>
      </c>
      <c r="AL10" s="23">
        <v>9605</v>
      </c>
      <c r="AM10" s="24">
        <v>0.24403956272774499</v>
      </c>
      <c r="AN10" s="44" t="str">
        <f>VLOOKUP(flu_aw25[[#This Row],[trust_code]],trust_lookup[],3,0)</f>
        <v>King's</v>
      </c>
      <c r="AP10" s="2" t="s">
        <v>83</v>
      </c>
      <c r="AQ10" s="2" t="s">
        <v>84</v>
      </c>
      <c r="AR10" s="2" t="s">
        <v>27</v>
      </c>
      <c r="AS10" s="2" t="s">
        <v>521</v>
      </c>
      <c r="AT10" s="2">
        <v>1919</v>
      </c>
      <c r="AU10" s="44" t="str">
        <f>VLOOKUP(flu_location[[#This Row],[trust_code]],trust_lookup[],3,0)</f>
        <v>GOSH</v>
      </c>
      <c r="AW10" s="2" t="s">
        <v>30</v>
      </c>
      <c r="AX10" s="2" t="s">
        <v>31</v>
      </c>
      <c r="AY10" s="2" t="s">
        <v>655</v>
      </c>
      <c r="AZ10" s="2">
        <v>887</v>
      </c>
      <c r="BA10" s="2">
        <v>305</v>
      </c>
      <c r="BB10" s="44" t="str">
        <f>VLOOKUP(age_group[[#This Row],[trust_code]],trust_lookup[],3,0)</f>
        <v>BHR</v>
      </c>
    </row>
    <row r="11" spans="1:54" x14ac:dyDescent="0.35">
      <c r="A11" s="2" t="s">
        <v>518</v>
      </c>
      <c r="B11" s="2" t="s">
        <v>25</v>
      </c>
      <c r="C11" s="2" t="s">
        <v>26</v>
      </c>
      <c r="D11" s="2" t="s">
        <v>192</v>
      </c>
      <c r="E11" s="2" t="s">
        <v>67</v>
      </c>
      <c r="F11" s="2">
        <v>776</v>
      </c>
      <c r="G11" s="2">
        <v>277</v>
      </c>
      <c r="H11" s="14" t="str">
        <f>VLOOKUP(flu_group[[#This Row],[trust_code]],trust_lookup[],3,0)</f>
        <v>CNWL</v>
      </c>
      <c r="I11" s="14" t="str">
        <f>VLOOKUP(flu_group[[#This Row],[trust_code]],trust_lookup[],4,0)</f>
        <v>Mental Health &amp; Community</v>
      </c>
      <c r="K11" s="2" t="s">
        <v>518</v>
      </c>
      <c r="L11" s="2" t="s">
        <v>83</v>
      </c>
      <c r="M11" s="2" t="s">
        <v>84</v>
      </c>
      <c r="N11" s="2" t="s">
        <v>27</v>
      </c>
      <c r="O11" s="2" t="s">
        <v>29</v>
      </c>
      <c r="P11" s="2">
        <v>26</v>
      </c>
      <c r="R11" s="43">
        <v>45579</v>
      </c>
      <c r="S11" s="2">
        <v>42</v>
      </c>
      <c r="T11" s="2" t="s">
        <v>519</v>
      </c>
      <c r="U11" s="2" t="s">
        <v>30</v>
      </c>
      <c r="V11" s="2" t="s">
        <v>31</v>
      </c>
      <c r="W11" s="2" t="s">
        <v>190</v>
      </c>
      <c r="X11" s="23">
        <v>316</v>
      </c>
      <c r="Y11" s="23">
        <v>1325</v>
      </c>
      <c r="Z11" s="23">
        <v>6933</v>
      </c>
      <c r="AA11" s="24">
        <v>0.191114957449877</v>
      </c>
      <c r="AB11" s="14" t="str">
        <f>VLOOKUP(flu_aw24[[#This Row],[trust_code]],trust_lookup[],3,0)</f>
        <v>BHR</v>
      </c>
      <c r="AD11" s="43">
        <v>45957</v>
      </c>
      <c r="AE11" s="2">
        <v>44</v>
      </c>
      <c r="AF11" s="2" t="s">
        <v>518</v>
      </c>
      <c r="AG11" s="2" t="s">
        <v>107</v>
      </c>
      <c r="AH11" s="2" t="s">
        <v>108</v>
      </c>
      <c r="AI11" s="2" t="s">
        <v>193</v>
      </c>
      <c r="AJ11" s="23">
        <v>326</v>
      </c>
      <c r="AK11" s="23">
        <v>2670</v>
      </c>
      <c r="AL11" s="23">
        <v>9605</v>
      </c>
      <c r="AM11" s="24">
        <v>0.27798021863612699</v>
      </c>
      <c r="AN11" s="44" t="str">
        <f>VLOOKUP(flu_aw25[[#This Row],[trust_code]],trust_lookup[],3,0)</f>
        <v>King's</v>
      </c>
      <c r="AP11" s="2" t="s">
        <v>83</v>
      </c>
      <c r="AQ11" s="2" t="s">
        <v>84</v>
      </c>
      <c r="AR11" s="2" t="s">
        <v>27</v>
      </c>
      <c r="AS11" s="2" t="s">
        <v>522</v>
      </c>
      <c r="AT11" s="2">
        <v>145</v>
      </c>
      <c r="AU11" s="44" t="str">
        <f>VLOOKUP(flu_location[[#This Row],[trust_code]],trust_lookup[],3,0)</f>
        <v>GOSH</v>
      </c>
      <c r="AW11" s="2" t="s">
        <v>30</v>
      </c>
      <c r="AX11" s="2" t="s">
        <v>31</v>
      </c>
      <c r="AY11" s="2" t="s">
        <v>656</v>
      </c>
      <c r="AZ11" s="2">
        <v>863</v>
      </c>
      <c r="BA11" s="2">
        <v>363</v>
      </c>
      <c r="BB11" s="44" t="str">
        <f>VLOOKUP(age_group[[#This Row],[trust_code]],trust_lookup[],3,0)</f>
        <v>BHR</v>
      </c>
    </row>
    <row r="12" spans="1:54" x14ac:dyDescent="0.35">
      <c r="A12" s="2" t="s">
        <v>518</v>
      </c>
      <c r="B12" s="2" t="s">
        <v>187</v>
      </c>
      <c r="C12" s="2" t="s">
        <v>188</v>
      </c>
      <c r="D12" s="2" t="s">
        <v>192</v>
      </c>
      <c r="E12" s="2" t="s">
        <v>67</v>
      </c>
      <c r="F12" s="2">
        <v>575</v>
      </c>
      <c r="G12" s="2">
        <v>223</v>
      </c>
      <c r="H12" s="14" t="str">
        <f>VLOOKUP(flu_group[[#This Row],[trust_code]],trust_lookup[],3,0)</f>
        <v>West London</v>
      </c>
      <c r="I12" s="14" t="str">
        <f>VLOOKUP(flu_group[[#This Row],[trust_code]],trust_lookup[],4,0)</f>
        <v>Mental Health &amp; Community</v>
      </c>
      <c r="K12" s="2" t="s">
        <v>518</v>
      </c>
      <c r="L12" s="2" t="s">
        <v>83</v>
      </c>
      <c r="M12" s="2" t="s">
        <v>84</v>
      </c>
      <c r="N12" s="2" t="s">
        <v>27</v>
      </c>
      <c r="O12" s="2" t="s">
        <v>123</v>
      </c>
      <c r="P12" s="2">
        <v>137</v>
      </c>
      <c r="R12" s="43">
        <v>45586</v>
      </c>
      <c r="S12" s="2">
        <v>43</v>
      </c>
      <c r="T12" s="2" t="s">
        <v>519</v>
      </c>
      <c r="U12" s="2" t="s">
        <v>30</v>
      </c>
      <c r="V12" s="2" t="s">
        <v>31</v>
      </c>
      <c r="W12" s="2" t="s">
        <v>190</v>
      </c>
      <c r="X12" s="23">
        <v>212</v>
      </c>
      <c r="Y12" s="23">
        <v>1537</v>
      </c>
      <c r="Z12" s="23">
        <v>6933</v>
      </c>
      <c r="AA12" s="24">
        <v>0.221693350641857</v>
      </c>
      <c r="AB12" s="14" t="str">
        <f>VLOOKUP(flu_aw24[[#This Row],[trust_code]],trust_lookup[],3,0)</f>
        <v>BHR</v>
      </c>
      <c r="AD12" s="43">
        <v>45964</v>
      </c>
      <c r="AE12" s="2">
        <v>45</v>
      </c>
      <c r="AF12" s="2" t="s">
        <v>518</v>
      </c>
      <c r="AG12" s="2" t="s">
        <v>107</v>
      </c>
      <c r="AH12" s="2" t="s">
        <v>108</v>
      </c>
      <c r="AI12" s="2" t="s">
        <v>193</v>
      </c>
      <c r="AJ12" s="23">
        <v>262</v>
      </c>
      <c r="AK12" s="23">
        <v>2932</v>
      </c>
      <c r="AL12" s="23">
        <v>9605</v>
      </c>
      <c r="AM12" s="24">
        <v>0.30525767829255501</v>
      </c>
      <c r="AN12" s="44" t="str">
        <f>VLOOKUP(flu_aw25[[#This Row],[trust_code]],trust_lookup[],3,0)</f>
        <v>King's</v>
      </c>
      <c r="AP12" s="2" t="s">
        <v>83</v>
      </c>
      <c r="AQ12" s="2" t="s">
        <v>84</v>
      </c>
      <c r="AR12" s="2" t="s">
        <v>27</v>
      </c>
      <c r="AS12" s="2" t="s">
        <v>524</v>
      </c>
      <c r="AT12" s="2">
        <v>2</v>
      </c>
      <c r="AU12" s="44" t="str">
        <f>VLOOKUP(flu_location[[#This Row],[trust_code]],trust_lookup[],3,0)</f>
        <v>GOSH</v>
      </c>
      <c r="AW12" s="2" t="s">
        <v>30</v>
      </c>
      <c r="AX12" s="2" t="s">
        <v>31</v>
      </c>
      <c r="AY12" s="2" t="s">
        <v>657</v>
      </c>
      <c r="AZ12" s="2">
        <v>618</v>
      </c>
      <c r="BA12" s="2">
        <v>264</v>
      </c>
      <c r="BB12" s="44" t="str">
        <f>VLOOKUP(age_group[[#This Row],[trust_code]],trust_lookup[],3,0)</f>
        <v>BHR</v>
      </c>
    </row>
    <row r="13" spans="1:54" x14ac:dyDescent="0.35">
      <c r="A13" s="2" t="s">
        <v>518</v>
      </c>
      <c r="B13" s="2" t="s">
        <v>136</v>
      </c>
      <c r="C13" s="2" t="s">
        <v>137</v>
      </c>
      <c r="D13" s="2" t="s">
        <v>27</v>
      </c>
      <c r="E13" s="2" t="s">
        <v>67</v>
      </c>
      <c r="F13" s="2">
        <v>236</v>
      </c>
      <c r="G13" s="2">
        <v>126</v>
      </c>
      <c r="H13" s="14" t="str">
        <f>VLOOKUP(flu_group[[#This Row],[trust_code]],trust_lookup[],3,0)</f>
        <v>Moorfields</v>
      </c>
      <c r="I13" s="14" t="str">
        <f>VLOOKUP(flu_group[[#This Row],[trust_code]],trust_lookup[],4,0)</f>
        <v>Specialist</v>
      </c>
      <c r="K13" s="2" t="s">
        <v>518</v>
      </c>
      <c r="L13" s="2" t="s">
        <v>83</v>
      </c>
      <c r="M13" s="2" t="s">
        <v>84</v>
      </c>
      <c r="N13" s="2" t="s">
        <v>27</v>
      </c>
      <c r="O13" s="2" t="s">
        <v>82</v>
      </c>
      <c r="P13" s="2">
        <v>28</v>
      </c>
      <c r="R13" s="43">
        <v>45593</v>
      </c>
      <c r="S13" s="2">
        <v>44</v>
      </c>
      <c r="T13" s="2" t="s">
        <v>519</v>
      </c>
      <c r="U13" s="2" t="s">
        <v>30</v>
      </c>
      <c r="V13" s="2" t="s">
        <v>31</v>
      </c>
      <c r="W13" s="2" t="s">
        <v>190</v>
      </c>
      <c r="X13" s="23">
        <v>207</v>
      </c>
      <c r="Y13" s="23">
        <v>1744</v>
      </c>
      <c r="Z13" s="23">
        <v>6933</v>
      </c>
      <c r="AA13" s="24">
        <v>0.25155055531515902</v>
      </c>
      <c r="AB13" s="14" t="str">
        <f>VLOOKUP(flu_aw24[[#This Row],[trust_code]],trust_lookup[],3,0)</f>
        <v>BHR</v>
      </c>
      <c r="AD13" s="43">
        <v>45971</v>
      </c>
      <c r="AE13" s="2">
        <v>46</v>
      </c>
      <c r="AF13" s="2" t="s">
        <v>518</v>
      </c>
      <c r="AG13" s="2" t="s">
        <v>107</v>
      </c>
      <c r="AH13" s="2" t="s">
        <v>108</v>
      </c>
      <c r="AI13" s="2" t="s">
        <v>193</v>
      </c>
      <c r="AJ13" s="23">
        <v>253</v>
      </c>
      <c r="AK13" s="23">
        <v>3185</v>
      </c>
      <c r="AL13" s="23">
        <v>9605</v>
      </c>
      <c r="AM13" s="24">
        <v>0.33159812597605398</v>
      </c>
      <c r="AN13" s="44" t="str">
        <f>VLOOKUP(flu_aw25[[#This Row],[trust_code]],trust_lookup[],3,0)</f>
        <v>King's</v>
      </c>
      <c r="AP13" s="2" t="s">
        <v>136</v>
      </c>
      <c r="AQ13" s="2" t="s">
        <v>137</v>
      </c>
      <c r="AR13" s="2" t="s">
        <v>27</v>
      </c>
      <c r="AS13" s="2" t="s">
        <v>520</v>
      </c>
      <c r="AT13" s="2">
        <v>69</v>
      </c>
      <c r="AU13" s="44" t="str">
        <f>VLOOKUP(flu_location[[#This Row],[trust_code]],trust_lookup[],3,0)</f>
        <v>Moorfields</v>
      </c>
      <c r="AW13" s="2" t="s">
        <v>30</v>
      </c>
      <c r="AX13" s="2" t="s">
        <v>31</v>
      </c>
      <c r="AY13" s="2" t="s">
        <v>658</v>
      </c>
      <c r="AZ13" s="2">
        <v>459</v>
      </c>
      <c r="BA13" s="2">
        <v>219</v>
      </c>
      <c r="BB13" s="44" t="str">
        <f>VLOOKUP(age_group[[#This Row],[trust_code]],trust_lookup[],3,0)</f>
        <v>BHR</v>
      </c>
    </row>
    <row r="14" spans="1:54" x14ac:dyDescent="0.35">
      <c r="A14" s="2" t="s">
        <v>518</v>
      </c>
      <c r="B14" s="2" t="s">
        <v>69</v>
      </c>
      <c r="C14" s="2" t="s">
        <v>70</v>
      </c>
      <c r="D14" s="2" t="s">
        <v>190</v>
      </c>
      <c r="E14" s="2" t="s">
        <v>67</v>
      </c>
      <c r="F14" s="2">
        <v>943</v>
      </c>
      <c r="G14" s="2">
        <v>373</v>
      </c>
      <c r="H14" s="14" t="str">
        <f>VLOOKUP(flu_group[[#This Row],[trust_code]],trust_lookup[],3,0)</f>
        <v>ELFT</v>
      </c>
      <c r="I14" s="14" t="str">
        <f>VLOOKUP(flu_group[[#This Row],[trust_code]],trust_lookup[],4,0)</f>
        <v>Mental Health &amp; Community</v>
      </c>
      <c r="K14" s="2" t="s">
        <v>518</v>
      </c>
      <c r="L14" s="2" t="s">
        <v>83</v>
      </c>
      <c r="M14" s="2" t="s">
        <v>84</v>
      </c>
      <c r="N14" s="2" t="s">
        <v>27</v>
      </c>
      <c r="O14" s="2" t="s">
        <v>88</v>
      </c>
      <c r="P14" s="2">
        <v>28</v>
      </c>
      <c r="R14" s="43">
        <v>45600</v>
      </c>
      <c r="S14" s="2">
        <v>45</v>
      </c>
      <c r="T14" s="2" t="s">
        <v>519</v>
      </c>
      <c r="U14" s="2" t="s">
        <v>30</v>
      </c>
      <c r="V14" s="2" t="s">
        <v>31</v>
      </c>
      <c r="W14" s="2" t="s">
        <v>190</v>
      </c>
      <c r="X14" s="23">
        <v>192</v>
      </c>
      <c r="Y14" s="23">
        <v>1936</v>
      </c>
      <c r="Z14" s="23">
        <v>6933</v>
      </c>
      <c r="AA14" s="24">
        <v>0.27924419443242399</v>
      </c>
      <c r="AB14" s="14" t="str">
        <f>VLOOKUP(flu_aw24[[#This Row],[trust_code]],trust_lookup[],3,0)</f>
        <v>BHR</v>
      </c>
      <c r="AD14" s="43">
        <v>45978</v>
      </c>
      <c r="AE14" s="2">
        <v>47</v>
      </c>
      <c r="AF14" s="2" t="s">
        <v>518</v>
      </c>
      <c r="AG14" s="2" t="s">
        <v>107</v>
      </c>
      <c r="AH14" s="2" t="s">
        <v>108</v>
      </c>
      <c r="AI14" s="2" t="s">
        <v>193</v>
      </c>
      <c r="AJ14" s="23">
        <v>261</v>
      </c>
      <c r="AK14" s="23">
        <v>3446</v>
      </c>
      <c r="AL14" s="23">
        <v>9605</v>
      </c>
      <c r="AM14" s="24">
        <v>0.35877147319104602</v>
      </c>
      <c r="AN14" s="44" t="str">
        <f>VLOOKUP(flu_aw25[[#This Row],[trust_code]],trust_lookup[],3,0)</f>
        <v>King's</v>
      </c>
      <c r="AP14" s="2" t="s">
        <v>136</v>
      </c>
      <c r="AQ14" s="2" t="s">
        <v>137</v>
      </c>
      <c r="AR14" s="2" t="s">
        <v>27</v>
      </c>
      <c r="AS14" s="2" t="s">
        <v>521</v>
      </c>
      <c r="AT14" s="2">
        <v>785</v>
      </c>
      <c r="AU14" s="44" t="str">
        <f>VLOOKUP(flu_location[[#This Row],[trust_code]],trust_lookup[],3,0)</f>
        <v>Moorfields</v>
      </c>
      <c r="AW14" s="2" t="s">
        <v>30</v>
      </c>
      <c r="AX14" s="2" t="s">
        <v>31</v>
      </c>
      <c r="AY14" s="2" t="s">
        <v>659</v>
      </c>
      <c r="AZ14" s="2">
        <v>266</v>
      </c>
      <c r="BA14" s="2">
        <v>167</v>
      </c>
      <c r="BB14" s="44" t="str">
        <f>VLOOKUP(age_group[[#This Row],[trust_code]],trust_lookup[],3,0)</f>
        <v>BHR</v>
      </c>
    </row>
    <row r="15" spans="1:54" x14ac:dyDescent="0.35">
      <c r="A15" s="2" t="s">
        <v>518</v>
      </c>
      <c r="B15" s="2" t="s">
        <v>30</v>
      </c>
      <c r="C15" s="2" t="s">
        <v>31</v>
      </c>
      <c r="D15" s="2" t="s">
        <v>190</v>
      </c>
      <c r="E15" s="2" t="s">
        <v>67</v>
      </c>
      <c r="F15" s="2">
        <v>257</v>
      </c>
      <c r="G15" s="2">
        <v>103</v>
      </c>
      <c r="H15" s="14" t="str">
        <f>VLOOKUP(flu_group[[#This Row],[trust_code]],trust_lookup[],3,0)</f>
        <v>BHR</v>
      </c>
      <c r="I15" s="14" t="str">
        <f>VLOOKUP(flu_group[[#This Row],[trust_code]],trust_lookup[],4,0)</f>
        <v>Acute</v>
      </c>
      <c r="K15" s="2" t="s">
        <v>518</v>
      </c>
      <c r="L15" s="2" t="s">
        <v>83</v>
      </c>
      <c r="M15" s="2" t="s">
        <v>84</v>
      </c>
      <c r="N15" s="2" t="s">
        <v>27</v>
      </c>
      <c r="O15" s="2" t="s">
        <v>141</v>
      </c>
      <c r="P15" s="2">
        <v>128</v>
      </c>
      <c r="R15" s="43">
        <v>45607</v>
      </c>
      <c r="S15" s="2">
        <v>46</v>
      </c>
      <c r="T15" s="2" t="s">
        <v>519</v>
      </c>
      <c r="U15" s="2" t="s">
        <v>30</v>
      </c>
      <c r="V15" s="2" t="s">
        <v>31</v>
      </c>
      <c r="W15" s="2" t="s">
        <v>190</v>
      </c>
      <c r="X15" s="23">
        <v>140</v>
      </c>
      <c r="Y15" s="23">
        <v>2076</v>
      </c>
      <c r="Z15" s="23">
        <v>6933</v>
      </c>
      <c r="AA15" s="24">
        <v>0.29943747295543</v>
      </c>
      <c r="AB15" s="14" t="str">
        <f>VLOOKUP(flu_aw24[[#This Row],[trust_code]],trust_lookup[],3,0)</f>
        <v>BHR</v>
      </c>
      <c r="AD15" s="43">
        <v>45985</v>
      </c>
      <c r="AE15" s="2">
        <v>48</v>
      </c>
      <c r="AF15" s="2" t="s">
        <v>518</v>
      </c>
      <c r="AG15" s="2" t="s">
        <v>107</v>
      </c>
      <c r="AH15" s="2" t="s">
        <v>108</v>
      </c>
      <c r="AI15" s="2" t="s">
        <v>193</v>
      </c>
      <c r="AJ15" s="23">
        <v>175</v>
      </c>
      <c r="AK15" s="23">
        <v>3621</v>
      </c>
      <c r="AL15" s="23">
        <v>9605</v>
      </c>
      <c r="AM15" s="24">
        <v>0.376991150442477</v>
      </c>
      <c r="AN15" s="44" t="str">
        <f>VLOOKUP(flu_aw25[[#This Row],[trust_code]],trust_lookup[],3,0)</f>
        <v>King's</v>
      </c>
      <c r="AP15" s="2" t="s">
        <v>136</v>
      </c>
      <c r="AQ15" s="2" t="s">
        <v>137</v>
      </c>
      <c r="AR15" s="2" t="s">
        <v>27</v>
      </c>
      <c r="AS15" s="2" t="s">
        <v>522</v>
      </c>
      <c r="AT15" s="2">
        <v>59</v>
      </c>
      <c r="AU15" s="44" t="str">
        <f>VLOOKUP(flu_location[[#This Row],[trust_code]],trust_lookup[],3,0)</f>
        <v>Moorfields</v>
      </c>
      <c r="AW15" s="2" t="s">
        <v>37</v>
      </c>
      <c r="AX15" s="2" t="s">
        <v>38</v>
      </c>
      <c r="AY15" s="2" t="s">
        <v>650</v>
      </c>
      <c r="AZ15" s="2">
        <v>905</v>
      </c>
      <c r="BA15" s="2">
        <v>166</v>
      </c>
      <c r="BB15" s="44" t="str">
        <f>VLOOKUP(age_group[[#This Row],[trust_code]],trust_lookup[],3,0)</f>
        <v>Barts</v>
      </c>
    </row>
    <row r="16" spans="1:54" x14ac:dyDescent="0.35">
      <c r="A16" s="2" t="s">
        <v>518</v>
      </c>
      <c r="B16" s="2" t="s">
        <v>152</v>
      </c>
      <c r="C16" s="2" t="s">
        <v>153</v>
      </c>
      <c r="D16" s="2" t="s">
        <v>193</v>
      </c>
      <c r="E16" s="2" t="s">
        <v>67</v>
      </c>
      <c r="F16" s="2">
        <v>388</v>
      </c>
      <c r="G16" s="2">
        <v>147</v>
      </c>
      <c r="H16" s="14" t="str">
        <f>VLOOKUP(flu_group[[#This Row],[trust_code]],trust_lookup[],3,0)</f>
        <v>Oxleas</v>
      </c>
      <c r="I16" s="14" t="str">
        <f>VLOOKUP(flu_group[[#This Row],[trust_code]],trust_lookup[],4,0)</f>
        <v>Mental Health &amp; Community</v>
      </c>
      <c r="K16" s="2" t="s">
        <v>518</v>
      </c>
      <c r="L16" s="2" t="s">
        <v>83</v>
      </c>
      <c r="M16" s="2" t="s">
        <v>84</v>
      </c>
      <c r="N16" s="2" t="s">
        <v>27</v>
      </c>
      <c r="O16" s="2" t="s">
        <v>61</v>
      </c>
      <c r="P16" s="2">
        <v>15</v>
      </c>
      <c r="R16" s="43">
        <v>45614</v>
      </c>
      <c r="S16" s="2">
        <v>47</v>
      </c>
      <c r="T16" s="2" t="s">
        <v>519</v>
      </c>
      <c r="U16" s="2" t="s">
        <v>30</v>
      </c>
      <c r="V16" s="2" t="s">
        <v>31</v>
      </c>
      <c r="W16" s="2" t="s">
        <v>190</v>
      </c>
      <c r="X16" s="23">
        <v>165</v>
      </c>
      <c r="Y16" s="23">
        <v>2241</v>
      </c>
      <c r="Z16" s="23">
        <v>6933</v>
      </c>
      <c r="AA16" s="24">
        <v>0.32323669407182998</v>
      </c>
      <c r="AB16" s="14" t="str">
        <f>VLOOKUP(flu_aw24[[#This Row],[trust_code]],trust_lookup[],3,0)</f>
        <v>BHR</v>
      </c>
      <c r="AD16" s="43">
        <v>45992</v>
      </c>
      <c r="AE16" s="2">
        <v>49</v>
      </c>
      <c r="AF16" s="2" t="s">
        <v>518</v>
      </c>
      <c r="AG16" s="2" t="s">
        <v>107</v>
      </c>
      <c r="AH16" s="2" t="s">
        <v>108</v>
      </c>
      <c r="AI16" s="2" t="s">
        <v>193</v>
      </c>
      <c r="AJ16" s="23">
        <v>144</v>
      </c>
      <c r="AK16" s="23">
        <v>3765</v>
      </c>
      <c r="AL16" s="23">
        <v>9605</v>
      </c>
      <c r="AM16" s="24">
        <v>0.39198334200937002</v>
      </c>
      <c r="AN16" s="44" t="str">
        <f>VLOOKUP(flu_aw25[[#This Row],[trust_code]],trust_lookup[],3,0)</f>
        <v>King's</v>
      </c>
      <c r="AP16" s="2" t="s">
        <v>136</v>
      </c>
      <c r="AQ16" s="2" t="s">
        <v>137</v>
      </c>
      <c r="AR16" s="2" t="s">
        <v>27</v>
      </c>
      <c r="AS16" s="2" t="s">
        <v>524</v>
      </c>
      <c r="AT16" s="2">
        <v>3</v>
      </c>
      <c r="AU16" s="44" t="str">
        <f>VLOOKUP(flu_location[[#This Row],[trust_code]],trust_lookup[],3,0)</f>
        <v>Moorfields</v>
      </c>
      <c r="AW16" s="2" t="s">
        <v>37</v>
      </c>
      <c r="AX16" s="2" t="s">
        <v>38</v>
      </c>
      <c r="AY16" s="2" t="s">
        <v>651</v>
      </c>
      <c r="AZ16" s="2">
        <v>2826</v>
      </c>
      <c r="BA16" s="2">
        <v>852</v>
      </c>
      <c r="BB16" s="44" t="str">
        <f>VLOOKUP(age_group[[#This Row],[trust_code]],trust_lookup[],3,0)</f>
        <v>Barts</v>
      </c>
    </row>
    <row r="17" spans="1:54" x14ac:dyDescent="0.35">
      <c r="A17" s="2" t="s">
        <v>518</v>
      </c>
      <c r="B17" s="2" t="s">
        <v>55</v>
      </c>
      <c r="C17" s="2" t="s">
        <v>56</v>
      </c>
      <c r="D17" s="2" t="s">
        <v>192</v>
      </c>
      <c r="E17" s="2" t="s">
        <v>67</v>
      </c>
      <c r="F17" s="2">
        <v>201</v>
      </c>
      <c r="G17" s="2">
        <v>96</v>
      </c>
      <c r="H17" s="14" t="str">
        <f>VLOOKUP(flu_group[[#This Row],[trust_code]],trust_lookup[],3,0)</f>
        <v>ChelWest</v>
      </c>
      <c r="I17" s="14" t="str">
        <f>VLOOKUP(flu_group[[#This Row],[trust_code]],trust_lookup[],4,0)</f>
        <v>Acute</v>
      </c>
      <c r="K17" s="2" t="s">
        <v>518</v>
      </c>
      <c r="L17" s="2" t="s">
        <v>83</v>
      </c>
      <c r="M17" s="2" t="s">
        <v>84</v>
      </c>
      <c r="N17" s="2" t="s">
        <v>27</v>
      </c>
      <c r="O17" s="2" t="s">
        <v>100</v>
      </c>
      <c r="P17" s="2">
        <v>134</v>
      </c>
      <c r="R17" s="43">
        <v>45621</v>
      </c>
      <c r="S17" s="2">
        <v>48</v>
      </c>
      <c r="T17" s="2" t="s">
        <v>519</v>
      </c>
      <c r="U17" s="2" t="s">
        <v>30</v>
      </c>
      <c r="V17" s="2" t="s">
        <v>31</v>
      </c>
      <c r="W17" s="2" t="s">
        <v>190</v>
      </c>
      <c r="X17" s="23">
        <v>108</v>
      </c>
      <c r="Y17" s="23">
        <v>2349</v>
      </c>
      <c r="Z17" s="23">
        <v>6933</v>
      </c>
      <c r="AA17" s="24">
        <v>0.33881436607529197</v>
      </c>
      <c r="AB17" s="14" t="str">
        <f>VLOOKUP(flu_aw24[[#This Row],[trust_code]],trust_lookup[],3,0)</f>
        <v>BHR</v>
      </c>
      <c r="AD17" s="43">
        <v>45999</v>
      </c>
      <c r="AE17" s="2">
        <v>50</v>
      </c>
      <c r="AF17" s="2" t="s">
        <v>518</v>
      </c>
      <c r="AG17" s="2" t="s">
        <v>107</v>
      </c>
      <c r="AH17" s="2" t="s">
        <v>108</v>
      </c>
      <c r="AI17" s="2" t="s">
        <v>193</v>
      </c>
      <c r="AJ17" s="23">
        <v>212</v>
      </c>
      <c r="AK17" s="23">
        <v>3977</v>
      </c>
      <c r="AL17" s="23">
        <v>9605</v>
      </c>
      <c r="AM17" s="24">
        <v>0.41405517959396099</v>
      </c>
      <c r="AN17" s="44" t="str">
        <f>VLOOKUP(flu_aw25[[#This Row],[trust_code]],trust_lookup[],3,0)</f>
        <v>King's</v>
      </c>
      <c r="AP17" s="2" t="s">
        <v>147</v>
      </c>
      <c r="AQ17" s="2" t="s">
        <v>148</v>
      </c>
      <c r="AR17" s="2" t="s">
        <v>27</v>
      </c>
      <c r="AS17" s="2" t="s">
        <v>520</v>
      </c>
      <c r="AT17" s="2">
        <v>367</v>
      </c>
      <c r="AU17" s="44" t="str">
        <f>VLOOKUP(flu_location[[#This Row],[trust_code]],trust_lookup[],3,0)</f>
        <v>North London</v>
      </c>
      <c r="AW17" s="2" t="s">
        <v>37</v>
      </c>
      <c r="AX17" s="2" t="s">
        <v>38</v>
      </c>
      <c r="AY17" s="2" t="s">
        <v>652</v>
      </c>
      <c r="AZ17" s="2">
        <v>3560</v>
      </c>
      <c r="BA17" s="2">
        <v>1248</v>
      </c>
      <c r="BB17" s="44" t="str">
        <f>VLOOKUP(age_group[[#This Row],[trust_code]],trust_lookup[],3,0)</f>
        <v>Barts</v>
      </c>
    </row>
    <row r="18" spans="1:54" x14ac:dyDescent="0.35">
      <c r="A18" s="2" t="s">
        <v>518</v>
      </c>
      <c r="B18" s="2" t="s">
        <v>147</v>
      </c>
      <c r="C18" s="2" t="s">
        <v>148</v>
      </c>
      <c r="D18" s="2" t="s">
        <v>27</v>
      </c>
      <c r="E18" s="2" t="s">
        <v>67</v>
      </c>
      <c r="F18" s="2">
        <v>1163</v>
      </c>
      <c r="G18" s="2">
        <v>426</v>
      </c>
      <c r="H18" s="14" t="str">
        <f>VLOOKUP(flu_group[[#This Row],[trust_code]],trust_lookup[],3,0)</f>
        <v>North London</v>
      </c>
      <c r="I18" s="14" t="str">
        <f>VLOOKUP(flu_group[[#This Row],[trust_code]],trust_lookup[],4,0)</f>
        <v>Mental Health</v>
      </c>
      <c r="K18" s="2" t="s">
        <v>518</v>
      </c>
      <c r="L18" s="2" t="s">
        <v>83</v>
      </c>
      <c r="M18" s="2" t="s">
        <v>84</v>
      </c>
      <c r="N18" s="2" t="s">
        <v>27</v>
      </c>
      <c r="O18" s="2" t="s">
        <v>75</v>
      </c>
      <c r="P18" s="2">
        <v>31</v>
      </c>
      <c r="R18" s="43">
        <v>45628</v>
      </c>
      <c r="S18" s="2">
        <v>49</v>
      </c>
      <c r="T18" s="2" t="s">
        <v>519</v>
      </c>
      <c r="U18" s="2" t="s">
        <v>30</v>
      </c>
      <c r="V18" s="2" t="s">
        <v>31</v>
      </c>
      <c r="W18" s="2" t="s">
        <v>190</v>
      </c>
      <c r="X18" s="23">
        <v>88</v>
      </c>
      <c r="Y18" s="23">
        <v>2437</v>
      </c>
      <c r="Z18" s="23">
        <v>6933</v>
      </c>
      <c r="AA18" s="24">
        <v>0.35150728400403802</v>
      </c>
      <c r="AB18" s="14" t="str">
        <f>VLOOKUP(flu_aw24[[#This Row],[trust_code]],trust_lookup[],3,0)</f>
        <v>BHR</v>
      </c>
      <c r="AD18" s="43">
        <v>46006</v>
      </c>
      <c r="AE18" s="2">
        <v>51</v>
      </c>
      <c r="AF18" s="2" t="s">
        <v>518</v>
      </c>
      <c r="AG18" s="2" t="s">
        <v>107</v>
      </c>
      <c r="AH18" s="2" t="s">
        <v>108</v>
      </c>
      <c r="AI18" s="2" t="s">
        <v>193</v>
      </c>
      <c r="AJ18" s="23">
        <v>190</v>
      </c>
      <c r="AK18" s="23">
        <v>4167</v>
      </c>
      <c r="AL18" s="23">
        <v>9605</v>
      </c>
      <c r="AM18" s="24">
        <v>0.433836543466944</v>
      </c>
      <c r="AN18" s="44" t="str">
        <f>VLOOKUP(flu_aw25[[#This Row],[trust_code]],trust_lookup[],3,0)</f>
        <v>King's</v>
      </c>
      <c r="AP18" s="2" t="s">
        <v>147</v>
      </c>
      <c r="AQ18" s="2" t="s">
        <v>148</v>
      </c>
      <c r="AR18" s="2" t="s">
        <v>27</v>
      </c>
      <c r="AS18" s="2" t="s">
        <v>521</v>
      </c>
      <c r="AT18" s="2">
        <v>866</v>
      </c>
      <c r="AU18" s="44" t="str">
        <f>VLOOKUP(flu_location[[#This Row],[trust_code]],trust_lookup[],3,0)</f>
        <v>North London</v>
      </c>
      <c r="AW18" s="2" t="s">
        <v>37</v>
      </c>
      <c r="AX18" s="2" t="s">
        <v>38</v>
      </c>
      <c r="AY18" s="2" t="s">
        <v>653</v>
      </c>
      <c r="AZ18" s="2">
        <v>3314</v>
      </c>
      <c r="BA18" s="2">
        <v>1142</v>
      </c>
      <c r="BB18" s="44" t="str">
        <f>VLOOKUP(age_group[[#This Row],[trust_code]],trust_lookup[],3,0)</f>
        <v>Barts</v>
      </c>
    </row>
    <row r="19" spans="1:54" x14ac:dyDescent="0.35">
      <c r="A19" s="2" t="s">
        <v>518</v>
      </c>
      <c r="B19" s="2" t="s">
        <v>118</v>
      </c>
      <c r="C19" s="2" t="s">
        <v>119</v>
      </c>
      <c r="D19" s="2" t="s">
        <v>193</v>
      </c>
      <c r="E19" s="2" t="s">
        <v>67</v>
      </c>
      <c r="F19" s="2">
        <v>209</v>
      </c>
      <c r="G19" s="2">
        <v>102</v>
      </c>
      <c r="H19" s="14" t="str">
        <f>VLOOKUP(flu_group[[#This Row],[trust_code]],trust_lookup[],3,0)</f>
        <v>L&amp;G</v>
      </c>
      <c r="I19" s="14" t="str">
        <f>VLOOKUP(flu_group[[#This Row],[trust_code]],trust_lookup[],4,0)</f>
        <v>Acute</v>
      </c>
      <c r="K19" s="2" t="s">
        <v>518</v>
      </c>
      <c r="L19" s="2" t="s">
        <v>83</v>
      </c>
      <c r="M19" s="2" t="s">
        <v>84</v>
      </c>
      <c r="N19" s="2" t="s">
        <v>27</v>
      </c>
      <c r="O19" s="2" t="s">
        <v>106</v>
      </c>
      <c r="P19" s="2">
        <v>32</v>
      </c>
      <c r="R19" s="43">
        <v>45635</v>
      </c>
      <c r="S19" s="2">
        <v>50</v>
      </c>
      <c r="T19" s="2" t="s">
        <v>519</v>
      </c>
      <c r="U19" s="2" t="s">
        <v>30</v>
      </c>
      <c r="V19" s="2" t="s">
        <v>31</v>
      </c>
      <c r="W19" s="2" t="s">
        <v>190</v>
      </c>
      <c r="X19" s="23">
        <v>87</v>
      </c>
      <c r="Y19" s="23">
        <v>2524</v>
      </c>
      <c r="Z19" s="23">
        <v>6933</v>
      </c>
      <c r="AA19" s="24">
        <v>0.36405596422904901</v>
      </c>
      <c r="AB19" s="14" t="str">
        <f>VLOOKUP(flu_aw24[[#This Row],[trust_code]],trust_lookup[],3,0)</f>
        <v>BHR</v>
      </c>
      <c r="AD19" s="43">
        <v>46013</v>
      </c>
      <c r="AE19" s="2">
        <v>52</v>
      </c>
      <c r="AF19" s="2" t="s">
        <v>518</v>
      </c>
      <c r="AG19" s="2" t="s">
        <v>107</v>
      </c>
      <c r="AH19" s="2" t="s">
        <v>108</v>
      </c>
      <c r="AI19" s="2" t="s">
        <v>193</v>
      </c>
      <c r="AJ19" s="23">
        <v>20</v>
      </c>
      <c r="AK19" s="23">
        <v>4187</v>
      </c>
      <c r="AL19" s="23">
        <v>9605</v>
      </c>
      <c r="AM19" s="24">
        <v>0.43591879229567898</v>
      </c>
      <c r="AN19" s="44" t="str">
        <f>VLOOKUP(flu_aw25[[#This Row],[trust_code]],trust_lookup[],3,0)</f>
        <v>King's</v>
      </c>
      <c r="AP19" s="2" t="s">
        <v>147</v>
      </c>
      <c r="AQ19" s="2" t="s">
        <v>148</v>
      </c>
      <c r="AR19" s="2" t="s">
        <v>27</v>
      </c>
      <c r="AS19" s="2" t="s">
        <v>522</v>
      </c>
      <c r="AT19" s="2">
        <v>414</v>
      </c>
      <c r="AU19" s="44" t="str">
        <f>VLOOKUP(flu_location[[#This Row],[trust_code]],trust_lookup[],3,0)</f>
        <v>North London</v>
      </c>
      <c r="AW19" s="2" t="s">
        <v>37</v>
      </c>
      <c r="AX19" s="2" t="s">
        <v>38</v>
      </c>
      <c r="AY19" s="2" t="s">
        <v>654</v>
      </c>
      <c r="AZ19" s="2">
        <v>2437</v>
      </c>
      <c r="BA19" s="2">
        <v>805</v>
      </c>
      <c r="BB19" s="44" t="str">
        <f>VLOOKUP(age_group[[#This Row],[trust_code]],trust_lookup[],3,0)</f>
        <v>Barts</v>
      </c>
    </row>
    <row r="20" spans="1:54" x14ac:dyDescent="0.35">
      <c r="A20" s="2" t="s">
        <v>518</v>
      </c>
      <c r="B20" s="2" t="s">
        <v>157</v>
      </c>
      <c r="C20" s="2" t="s">
        <v>158</v>
      </c>
      <c r="D20" s="2" t="s">
        <v>27</v>
      </c>
      <c r="E20" s="2" t="s">
        <v>67</v>
      </c>
      <c r="F20" s="2">
        <v>659</v>
      </c>
      <c r="G20" s="2">
        <v>281</v>
      </c>
      <c r="H20" s="14" t="str">
        <f>VLOOKUP(flu_group[[#This Row],[trust_code]],trust_lookup[],3,0)</f>
        <v>Royal Free</v>
      </c>
      <c r="I20" s="14" t="str">
        <f>VLOOKUP(flu_group[[#This Row],[trust_code]],trust_lookup[],4,0)</f>
        <v>Acute</v>
      </c>
      <c r="K20" s="2" t="s">
        <v>518</v>
      </c>
      <c r="L20" s="2" t="s">
        <v>83</v>
      </c>
      <c r="M20" s="2" t="s">
        <v>84</v>
      </c>
      <c r="N20" s="2" t="s">
        <v>27</v>
      </c>
      <c r="O20" s="2" t="s">
        <v>112</v>
      </c>
      <c r="P20" s="2">
        <v>111</v>
      </c>
      <c r="R20" s="43">
        <v>45642</v>
      </c>
      <c r="S20" s="2">
        <v>51</v>
      </c>
      <c r="T20" s="2" t="s">
        <v>519</v>
      </c>
      <c r="U20" s="2" t="s">
        <v>30</v>
      </c>
      <c r="V20" s="2" t="s">
        <v>31</v>
      </c>
      <c r="W20" s="2" t="s">
        <v>190</v>
      </c>
      <c r="X20" s="23">
        <v>76</v>
      </c>
      <c r="Y20" s="23">
        <v>2600</v>
      </c>
      <c r="Z20" s="23">
        <v>6933</v>
      </c>
      <c r="AA20" s="24">
        <v>0.37501802971296699</v>
      </c>
      <c r="AB20" s="14" t="str">
        <f>VLOOKUP(flu_aw24[[#This Row],[trust_code]],trust_lookup[],3,0)</f>
        <v>BHR</v>
      </c>
      <c r="AD20" s="43">
        <v>46020</v>
      </c>
      <c r="AE20" s="2">
        <v>1</v>
      </c>
      <c r="AF20" s="2" t="s">
        <v>518</v>
      </c>
      <c r="AG20" s="2" t="s">
        <v>107</v>
      </c>
      <c r="AH20" s="2" t="s">
        <v>108</v>
      </c>
      <c r="AI20" s="2" t="s">
        <v>193</v>
      </c>
      <c r="AJ20" s="23">
        <v>19</v>
      </c>
      <c r="AK20" s="23">
        <v>4206</v>
      </c>
      <c r="AL20" s="23">
        <v>9605</v>
      </c>
      <c r="AM20" s="24">
        <v>0.43789692868297703</v>
      </c>
      <c r="AN20" s="44" t="str">
        <f>VLOOKUP(flu_aw25[[#This Row],[trust_code]],trust_lookup[],3,0)</f>
        <v>King's</v>
      </c>
      <c r="AP20" s="2" t="s">
        <v>147</v>
      </c>
      <c r="AQ20" s="2" t="s">
        <v>148</v>
      </c>
      <c r="AR20" s="2" t="s">
        <v>27</v>
      </c>
      <c r="AS20" s="2" t="s">
        <v>524</v>
      </c>
      <c r="AT20" s="2">
        <v>8</v>
      </c>
      <c r="AU20" s="44" t="str">
        <f>VLOOKUP(flu_location[[#This Row],[trust_code]],trust_lookup[],3,0)</f>
        <v>North London</v>
      </c>
      <c r="AW20" s="2" t="s">
        <v>37</v>
      </c>
      <c r="AX20" s="2" t="s">
        <v>38</v>
      </c>
      <c r="AY20" s="2" t="s">
        <v>655</v>
      </c>
      <c r="AZ20" s="2">
        <v>2222</v>
      </c>
      <c r="BA20" s="2">
        <v>694</v>
      </c>
      <c r="BB20" s="44" t="str">
        <f>VLOOKUP(age_group[[#This Row],[trust_code]],trust_lookup[],3,0)</f>
        <v>Barts</v>
      </c>
    </row>
    <row r="21" spans="1:54" x14ac:dyDescent="0.35">
      <c r="A21" s="2" t="s">
        <v>518</v>
      </c>
      <c r="B21" s="2" t="s">
        <v>130</v>
      </c>
      <c r="C21" s="2" t="s">
        <v>131</v>
      </c>
      <c r="D21" s="2" t="s">
        <v>192</v>
      </c>
      <c r="E21" s="2" t="s">
        <v>67</v>
      </c>
      <c r="F21" s="2">
        <v>189</v>
      </c>
      <c r="G21" s="2">
        <v>74</v>
      </c>
      <c r="H21" s="14" t="str">
        <f>VLOOKUP(flu_group[[#This Row],[trust_code]],trust_lookup[],3,0)</f>
        <v>LNW</v>
      </c>
      <c r="I21" s="14" t="str">
        <f>VLOOKUP(flu_group[[#This Row],[trust_code]],trust_lookup[],4,0)</f>
        <v>Acute</v>
      </c>
      <c r="K21" s="2" t="s">
        <v>518</v>
      </c>
      <c r="L21" s="2" t="s">
        <v>83</v>
      </c>
      <c r="M21" s="2" t="s">
        <v>84</v>
      </c>
      <c r="N21" s="2" t="s">
        <v>27</v>
      </c>
      <c r="O21" s="2" t="s">
        <v>36</v>
      </c>
      <c r="P21" s="2">
        <v>165</v>
      </c>
      <c r="R21" s="43">
        <v>45649</v>
      </c>
      <c r="S21" s="2">
        <v>52</v>
      </c>
      <c r="T21" s="2" t="s">
        <v>519</v>
      </c>
      <c r="U21" s="2" t="s">
        <v>30</v>
      </c>
      <c r="V21" s="2" t="s">
        <v>31</v>
      </c>
      <c r="W21" s="2" t="s">
        <v>190</v>
      </c>
      <c r="X21" s="23">
        <v>2</v>
      </c>
      <c r="Y21" s="23">
        <v>2602</v>
      </c>
      <c r="Z21" s="23">
        <v>6933</v>
      </c>
      <c r="AA21" s="24">
        <v>0.37530650512043801</v>
      </c>
      <c r="AB21" s="14" t="str">
        <f>VLOOKUP(flu_aw24[[#This Row],[trust_code]],trust_lookup[],3,0)</f>
        <v>BHR</v>
      </c>
      <c r="AD21" s="43">
        <v>46027</v>
      </c>
      <c r="AE21" s="2">
        <v>2</v>
      </c>
      <c r="AF21" s="2" t="s">
        <v>518</v>
      </c>
      <c r="AG21" s="2" t="s">
        <v>107</v>
      </c>
      <c r="AH21" s="2" t="s">
        <v>108</v>
      </c>
      <c r="AI21" s="2" t="s">
        <v>193</v>
      </c>
      <c r="AJ21" s="23">
        <v>55</v>
      </c>
      <c r="AK21" s="23">
        <v>4261</v>
      </c>
      <c r="AL21" s="23">
        <v>9605</v>
      </c>
      <c r="AM21" s="24">
        <v>0.44362311296199802</v>
      </c>
      <c r="AN21" s="44" t="str">
        <f>VLOOKUP(flu_aw25[[#This Row],[trust_code]],trust_lookup[],3,0)</f>
        <v>King's</v>
      </c>
      <c r="AP21" s="2" t="s">
        <v>157</v>
      </c>
      <c r="AQ21" s="2" t="s">
        <v>158</v>
      </c>
      <c r="AR21" s="2" t="s">
        <v>27</v>
      </c>
      <c r="AS21" s="2" t="s">
        <v>520</v>
      </c>
      <c r="AT21" s="2">
        <v>938</v>
      </c>
      <c r="AU21" s="44" t="str">
        <f>VLOOKUP(flu_location[[#This Row],[trust_code]],trust_lookup[],3,0)</f>
        <v>Royal Free</v>
      </c>
      <c r="AW21" s="2" t="s">
        <v>37</v>
      </c>
      <c r="AX21" s="2" t="s">
        <v>38</v>
      </c>
      <c r="AY21" s="2" t="s">
        <v>656</v>
      </c>
      <c r="AZ21" s="2">
        <v>1990</v>
      </c>
      <c r="BA21" s="2">
        <v>697</v>
      </c>
      <c r="BB21" s="44" t="str">
        <f>VLOOKUP(age_group[[#This Row],[trust_code]],trust_lookup[],3,0)</f>
        <v>Barts</v>
      </c>
    </row>
    <row r="22" spans="1:54" x14ac:dyDescent="0.35">
      <c r="A22" s="2" t="s">
        <v>518</v>
      </c>
      <c r="B22" s="2" t="s">
        <v>113</v>
      </c>
      <c r="C22" s="2" t="s">
        <v>114</v>
      </c>
      <c r="D22" s="2" t="s">
        <v>194</v>
      </c>
      <c r="E22" s="2" t="s">
        <v>67</v>
      </c>
      <c r="F22" s="2">
        <v>113</v>
      </c>
      <c r="G22" s="2">
        <v>59</v>
      </c>
      <c r="H22" s="14" t="str">
        <f>VLOOKUP(flu_group[[#This Row],[trust_code]],trust_lookup[],3,0)</f>
        <v>K&amp;R FT</v>
      </c>
      <c r="I22" s="14" t="str">
        <f>VLOOKUP(flu_group[[#This Row],[trust_code]],trust_lookup[],4,0)</f>
        <v>Acute &amp; Community</v>
      </c>
      <c r="K22" s="2" t="s">
        <v>518</v>
      </c>
      <c r="L22" s="2" t="s">
        <v>136</v>
      </c>
      <c r="M22" s="2" t="s">
        <v>137</v>
      </c>
      <c r="N22" s="2" t="s">
        <v>27</v>
      </c>
      <c r="O22" s="2" t="s">
        <v>68</v>
      </c>
      <c r="P22" s="2">
        <v>198</v>
      </c>
      <c r="R22" s="43">
        <v>45656</v>
      </c>
      <c r="S22" s="2">
        <v>1</v>
      </c>
      <c r="T22" s="2" t="s">
        <v>519</v>
      </c>
      <c r="U22" s="2" t="s">
        <v>30</v>
      </c>
      <c r="V22" s="2" t="s">
        <v>31</v>
      </c>
      <c r="W22" s="2" t="s">
        <v>190</v>
      </c>
      <c r="X22" s="23">
        <v>7</v>
      </c>
      <c r="Y22" s="23">
        <v>2609</v>
      </c>
      <c r="Z22" s="23">
        <v>6933</v>
      </c>
      <c r="AA22" s="24">
        <v>0.37631616904658799</v>
      </c>
      <c r="AB22" s="14" t="str">
        <f>VLOOKUP(flu_aw24[[#This Row],[trust_code]],trust_lookup[],3,0)</f>
        <v>BHR</v>
      </c>
      <c r="AD22" s="43">
        <v>46034</v>
      </c>
      <c r="AE22" s="2">
        <v>3</v>
      </c>
      <c r="AF22" s="2" t="s">
        <v>518</v>
      </c>
      <c r="AG22" s="2" t="s">
        <v>107</v>
      </c>
      <c r="AH22" s="2" t="s">
        <v>108</v>
      </c>
      <c r="AI22" s="2" t="s">
        <v>193</v>
      </c>
      <c r="AJ22" s="23">
        <v>87</v>
      </c>
      <c r="AK22" s="23">
        <v>4348</v>
      </c>
      <c r="AL22" s="23">
        <v>9605</v>
      </c>
      <c r="AM22" s="24">
        <v>0.45268089536699602</v>
      </c>
      <c r="AN22" s="44" t="str">
        <f>VLOOKUP(flu_aw25[[#This Row],[trust_code]],trust_lookup[],3,0)</f>
        <v>King's</v>
      </c>
      <c r="AP22" s="2" t="s">
        <v>157</v>
      </c>
      <c r="AQ22" s="2" t="s">
        <v>158</v>
      </c>
      <c r="AR22" s="2" t="s">
        <v>27</v>
      </c>
      <c r="AS22" s="2" t="s">
        <v>521</v>
      </c>
      <c r="AT22" s="2">
        <v>5349</v>
      </c>
      <c r="AU22" s="44" t="str">
        <f>VLOOKUP(flu_location[[#This Row],[trust_code]],trust_lookup[],3,0)</f>
        <v>Royal Free</v>
      </c>
      <c r="AW22" s="2" t="s">
        <v>37</v>
      </c>
      <c r="AX22" s="2" t="s">
        <v>38</v>
      </c>
      <c r="AY22" s="2" t="s">
        <v>657</v>
      </c>
      <c r="AZ22" s="2">
        <v>1749</v>
      </c>
      <c r="BA22" s="2">
        <v>661</v>
      </c>
      <c r="BB22" s="44" t="str">
        <f>VLOOKUP(age_group[[#This Row],[trust_code]],trust_lookup[],3,0)</f>
        <v>Barts</v>
      </c>
    </row>
    <row r="23" spans="1:54" x14ac:dyDescent="0.35">
      <c r="A23" s="2" t="s">
        <v>518</v>
      </c>
      <c r="B23" s="2" t="s">
        <v>142</v>
      </c>
      <c r="C23" s="2" t="s">
        <v>143</v>
      </c>
      <c r="D23" s="2" t="s">
        <v>190</v>
      </c>
      <c r="E23" s="2" t="s">
        <v>67</v>
      </c>
      <c r="F23" s="2">
        <v>923</v>
      </c>
      <c r="G23" s="2">
        <v>320</v>
      </c>
      <c r="H23" s="14" t="str">
        <f>VLOOKUP(flu_group[[#This Row],[trust_code]],trust_lookup[],3,0)</f>
        <v>NELFT</v>
      </c>
      <c r="I23" s="14" t="str">
        <f>VLOOKUP(flu_group[[#This Row],[trust_code]],trust_lookup[],4,0)</f>
        <v>Mental Health &amp; Community</v>
      </c>
      <c r="K23" s="2" t="s">
        <v>518</v>
      </c>
      <c r="L23" s="2" t="s">
        <v>136</v>
      </c>
      <c r="M23" s="2" t="s">
        <v>137</v>
      </c>
      <c r="N23" s="2" t="s">
        <v>27</v>
      </c>
      <c r="O23" s="2" t="s">
        <v>135</v>
      </c>
      <c r="P23" s="2">
        <v>13</v>
      </c>
      <c r="R23" s="43">
        <v>45663</v>
      </c>
      <c r="S23" s="2">
        <v>2</v>
      </c>
      <c r="T23" s="2" t="s">
        <v>519</v>
      </c>
      <c r="U23" s="2" t="s">
        <v>30</v>
      </c>
      <c r="V23" s="2" t="s">
        <v>31</v>
      </c>
      <c r="W23" s="2" t="s">
        <v>190</v>
      </c>
      <c r="X23" s="23">
        <v>78</v>
      </c>
      <c r="Y23" s="23">
        <v>2687</v>
      </c>
      <c r="Z23" s="23">
        <v>6933</v>
      </c>
      <c r="AA23" s="24">
        <v>0.38756670993797698</v>
      </c>
      <c r="AB23" s="14" t="str">
        <f>VLOOKUP(flu_aw24[[#This Row],[trust_code]],trust_lookup[],3,0)</f>
        <v>BHR</v>
      </c>
      <c r="AD23" s="43">
        <v>46041</v>
      </c>
      <c r="AE23" s="2">
        <v>4</v>
      </c>
      <c r="AF23" s="2" t="s">
        <v>518</v>
      </c>
      <c r="AG23" s="2" t="s">
        <v>107</v>
      </c>
      <c r="AH23" s="2" t="s">
        <v>108</v>
      </c>
      <c r="AI23" s="2" t="s">
        <v>193</v>
      </c>
      <c r="AJ23" s="23">
        <v>19</v>
      </c>
      <c r="AK23" s="23">
        <v>4367</v>
      </c>
      <c r="AL23" s="23">
        <v>9605</v>
      </c>
      <c r="AM23" s="24">
        <v>0.45465903175429401</v>
      </c>
      <c r="AN23" s="44" t="str">
        <f>VLOOKUP(flu_aw25[[#This Row],[trust_code]],trust_lookup[],3,0)</f>
        <v>King's</v>
      </c>
      <c r="AP23" s="2" t="s">
        <v>157</v>
      </c>
      <c r="AQ23" s="2" t="s">
        <v>158</v>
      </c>
      <c r="AR23" s="2" t="s">
        <v>27</v>
      </c>
      <c r="AS23" s="2" t="s">
        <v>522</v>
      </c>
      <c r="AT23" s="2">
        <v>686</v>
      </c>
      <c r="AU23" s="44" t="str">
        <f>VLOOKUP(flu_location[[#This Row],[trust_code]],trust_lookup[],3,0)</f>
        <v>Royal Free</v>
      </c>
      <c r="AW23" s="2" t="s">
        <v>37</v>
      </c>
      <c r="AX23" s="2" t="s">
        <v>38</v>
      </c>
      <c r="AY23" s="2" t="s">
        <v>658</v>
      </c>
      <c r="AZ23" s="2">
        <v>1232</v>
      </c>
      <c r="BA23" s="2">
        <v>503</v>
      </c>
      <c r="BB23" s="44" t="str">
        <f>VLOOKUP(age_group[[#This Row],[trust_code]],trust_lookup[],3,0)</f>
        <v>Barts</v>
      </c>
    </row>
    <row r="24" spans="1:54" x14ac:dyDescent="0.35">
      <c r="A24" s="2" t="s">
        <v>518</v>
      </c>
      <c r="B24" s="2" t="s">
        <v>101</v>
      </c>
      <c r="C24" s="2" t="s">
        <v>102</v>
      </c>
      <c r="D24" s="2" t="s">
        <v>192</v>
      </c>
      <c r="E24" s="2" t="s">
        <v>67</v>
      </c>
      <c r="F24" s="2">
        <v>229</v>
      </c>
      <c r="G24" s="2">
        <v>90</v>
      </c>
      <c r="H24" s="14" t="str">
        <f>VLOOKUP(flu_group[[#This Row],[trust_code]],trust_lookup[],3,0)</f>
        <v>Imperial</v>
      </c>
      <c r="I24" s="14" t="str">
        <f>VLOOKUP(flu_group[[#This Row],[trust_code]],trust_lookup[],4,0)</f>
        <v>Acute</v>
      </c>
      <c r="K24" s="2" t="s">
        <v>518</v>
      </c>
      <c r="L24" s="2" t="s">
        <v>136</v>
      </c>
      <c r="M24" s="2" t="s">
        <v>137</v>
      </c>
      <c r="N24" s="2" t="s">
        <v>27</v>
      </c>
      <c r="O24" s="2" t="s">
        <v>54</v>
      </c>
      <c r="P24" s="2">
        <v>83</v>
      </c>
      <c r="R24" s="43">
        <v>45670</v>
      </c>
      <c r="S24" s="2">
        <v>3</v>
      </c>
      <c r="T24" s="2" t="s">
        <v>519</v>
      </c>
      <c r="U24" s="2" t="s">
        <v>30</v>
      </c>
      <c r="V24" s="2" t="s">
        <v>31</v>
      </c>
      <c r="W24" s="2" t="s">
        <v>190</v>
      </c>
      <c r="X24" s="23">
        <v>47</v>
      </c>
      <c r="Y24" s="23">
        <v>2734</v>
      </c>
      <c r="Z24" s="23">
        <v>6933</v>
      </c>
      <c r="AA24" s="24">
        <v>0.39434588201355802</v>
      </c>
      <c r="AB24" s="14" t="str">
        <f>VLOOKUP(flu_aw24[[#This Row],[trust_code]],trust_lookup[],3,0)</f>
        <v>BHR</v>
      </c>
      <c r="AD24" s="43">
        <v>46048</v>
      </c>
      <c r="AE24" s="2">
        <v>5</v>
      </c>
      <c r="AF24" s="2" t="s">
        <v>518</v>
      </c>
      <c r="AG24" s="2" t="s">
        <v>107</v>
      </c>
      <c r="AH24" s="2" t="s">
        <v>108</v>
      </c>
      <c r="AI24" s="2" t="s">
        <v>193</v>
      </c>
      <c r="AJ24" s="23">
        <v>25</v>
      </c>
      <c r="AK24" s="23">
        <v>4392</v>
      </c>
      <c r="AL24" s="23">
        <v>9605</v>
      </c>
      <c r="AM24" s="24">
        <v>0.45726184279021298</v>
      </c>
      <c r="AN24" s="44" t="str">
        <f>VLOOKUP(flu_aw25[[#This Row],[trust_code]],trust_lookup[],3,0)</f>
        <v>King's</v>
      </c>
      <c r="AP24" s="2" t="s">
        <v>157</v>
      </c>
      <c r="AQ24" s="2" t="s">
        <v>158</v>
      </c>
      <c r="AR24" s="2" t="s">
        <v>27</v>
      </c>
      <c r="AS24" s="2" t="s">
        <v>523</v>
      </c>
      <c r="AT24" s="2">
        <v>1</v>
      </c>
      <c r="AU24" s="44" t="str">
        <f>VLOOKUP(flu_location[[#This Row],[trust_code]],trust_lookup[],3,0)</f>
        <v>Royal Free</v>
      </c>
      <c r="AW24" s="2" t="s">
        <v>37</v>
      </c>
      <c r="AX24" s="2" t="s">
        <v>38</v>
      </c>
      <c r="AY24" s="2" t="s">
        <v>659</v>
      </c>
      <c r="AZ24" s="2">
        <v>794</v>
      </c>
      <c r="BA24" s="2">
        <v>431</v>
      </c>
      <c r="BB24" s="44" t="str">
        <f>VLOOKUP(age_group[[#This Row],[trust_code]],trust_lookup[],3,0)</f>
        <v>Barts</v>
      </c>
    </row>
    <row r="25" spans="1:54" x14ac:dyDescent="0.35">
      <c r="A25" s="2" t="s">
        <v>518</v>
      </c>
      <c r="B25" s="2" t="s">
        <v>107</v>
      </c>
      <c r="C25" s="2" t="s">
        <v>108</v>
      </c>
      <c r="D25" s="2" t="s">
        <v>193</v>
      </c>
      <c r="E25" s="2" t="s">
        <v>67</v>
      </c>
      <c r="F25" s="2">
        <v>437</v>
      </c>
      <c r="G25" s="2">
        <v>197</v>
      </c>
      <c r="H25" s="14" t="str">
        <f>VLOOKUP(flu_group[[#This Row],[trust_code]],trust_lookup[],3,0)</f>
        <v>King's</v>
      </c>
      <c r="I25" s="14" t="str">
        <f>VLOOKUP(flu_group[[#This Row],[trust_code]],trust_lookup[],4,0)</f>
        <v>Acute</v>
      </c>
      <c r="K25" s="2" t="s">
        <v>518</v>
      </c>
      <c r="L25" s="2" t="s">
        <v>136</v>
      </c>
      <c r="M25" s="2" t="s">
        <v>137</v>
      </c>
      <c r="N25" s="2" t="s">
        <v>27</v>
      </c>
      <c r="O25" s="2" t="s">
        <v>129</v>
      </c>
      <c r="P25" s="2">
        <v>4</v>
      </c>
      <c r="R25" s="43">
        <v>45677</v>
      </c>
      <c r="S25" s="2">
        <v>4</v>
      </c>
      <c r="T25" s="2" t="s">
        <v>519</v>
      </c>
      <c r="U25" s="2" t="s">
        <v>30</v>
      </c>
      <c r="V25" s="2" t="s">
        <v>31</v>
      </c>
      <c r="W25" s="2" t="s">
        <v>190</v>
      </c>
      <c r="X25" s="23">
        <v>34</v>
      </c>
      <c r="Y25" s="23">
        <v>2768</v>
      </c>
      <c r="Z25" s="23">
        <v>6933</v>
      </c>
      <c r="AA25" s="24">
        <v>0.39924996394057399</v>
      </c>
      <c r="AB25" s="14" t="str">
        <f>VLOOKUP(flu_aw24[[#This Row],[trust_code]],trust_lookup[],3,0)</f>
        <v>BHR</v>
      </c>
      <c r="AD25" s="43">
        <v>46055</v>
      </c>
      <c r="AE25" s="2">
        <v>6</v>
      </c>
      <c r="AF25" s="2" t="s">
        <v>518</v>
      </c>
      <c r="AG25" s="2" t="s">
        <v>107</v>
      </c>
      <c r="AH25" s="2" t="s">
        <v>108</v>
      </c>
      <c r="AI25" s="2" t="s">
        <v>193</v>
      </c>
      <c r="AJ25" s="23">
        <v>15</v>
      </c>
      <c r="AK25" s="23">
        <v>4407</v>
      </c>
      <c r="AL25" s="23">
        <v>9605</v>
      </c>
      <c r="AM25" s="24">
        <v>0.45882352941176402</v>
      </c>
      <c r="AN25" s="44" t="str">
        <f>VLOOKUP(flu_aw25[[#This Row],[trust_code]],trust_lookup[],3,0)</f>
        <v>King's</v>
      </c>
      <c r="AP25" s="2" t="s">
        <v>157</v>
      </c>
      <c r="AQ25" s="2" t="s">
        <v>158</v>
      </c>
      <c r="AR25" s="2" t="s">
        <v>27</v>
      </c>
      <c r="AS25" s="2" t="s">
        <v>524</v>
      </c>
      <c r="AT25" s="2">
        <v>14</v>
      </c>
      <c r="AU25" s="44" t="str">
        <f>VLOOKUP(flu_location[[#This Row],[trust_code]],trust_lookup[],3,0)</f>
        <v>Royal Free</v>
      </c>
      <c r="AW25" s="2" t="s">
        <v>25</v>
      </c>
      <c r="AX25" s="2" t="s">
        <v>26</v>
      </c>
      <c r="AY25" s="2" t="s">
        <v>650</v>
      </c>
      <c r="AZ25" s="2">
        <v>247</v>
      </c>
      <c r="BA25" s="2">
        <v>43</v>
      </c>
      <c r="BB25" s="44" t="str">
        <f>VLOOKUP(age_group[[#This Row],[trust_code]],trust_lookup[],3,0)</f>
        <v>CNWL</v>
      </c>
    </row>
    <row r="26" spans="1:54" x14ac:dyDescent="0.35">
      <c r="A26" s="2" t="s">
        <v>518</v>
      </c>
      <c r="B26" s="2" t="s">
        <v>173</v>
      </c>
      <c r="C26" s="2" t="s">
        <v>174</v>
      </c>
      <c r="D26" s="2" t="s">
        <v>27</v>
      </c>
      <c r="E26" s="2" t="s">
        <v>67</v>
      </c>
      <c r="F26" s="2">
        <v>210</v>
      </c>
      <c r="G26" s="2">
        <v>97</v>
      </c>
      <c r="H26" s="14" t="str">
        <f>VLOOKUP(flu_group[[#This Row],[trust_code]],trust_lookup[],3,0)</f>
        <v>T&amp;P</v>
      </c>
      <c r="I26" s="14" t="str">
        <f>VLOOKUP(flu_group[[#This Row],[trust_code]],trust_lookup[],4,0)</f>
        <v>Mental Health</v>
      </c>
      <c r="K26" s="2" t="s">
        <v>518</v>
      </c>
      <c r="L26" s="2" t="s">
        <v>136</v>
      </c>
      <c r="M26" s="2" t="s">
        <v>137</v>
      </c>
      <c r="N26" s="2" t="s">
        <v>27</v>
      </c>
      <c r="O26" s="2" t="s">
        <v>47</v>
      </c>
      <c r="P26" s="2">
        <v>8</v>
      </c>
      <c r="R26" s="43">
        <v>45684</v>
      </c>
      <c r="S26" s="2">
        <v>5</v>
      </c>
      <c r="T26" s="2" t="s">
        <v>519</v>
      </c>
      <c r="U26" s="2" t="s">
        <v>30</v>
      </c>
      <c r="V26" s="2" t="s">
        <v>31</v>
      </c>
      <c r="W26" s="2" t="s">
        <v>190</v>
      </c>
      <c r="X26" s="23">
        <v>14</v>
      </c>
      <c r="Y26" s="23">
        <v>2782</v>
      </c>
      <c r="Z26" s="23">
        <v>6933</v>
      </c>
      <c r="AA26" s="24">
        <v>0.40126929179287402</v>
      </c>
      <c r="AB26" s="14" t="str">
        <f>VLOOKUP(flu_aw24[[#This Row],[trust_code]],trust_lookup[],3,0)</f>
        <v>BHR</v>
      </c>
      <c r="AD26" s="43">
        <v>46062</v>
      </c>
      <c r="AE26" s="2">
        <v>7</v>
      </c>
      <c r="AF26" s="2" t="s">
        <v>518</v>
      </c>
      <c r="AG26" s="2" t="s">
        <v>107</v>
      </c>
      <c r="AH26" s="2" t="s">
        <v>108</v>
      </c>
      <c r="AI26" s="2" t="s">
        <v>193</v>
      </c>
      <c r="AJ26" s="23">
        <v>16</v>
      </c>
      <c r="AK26" s="23">
        <v>4423</v>
      </c>
      <c r="AL26" s="23">
        <v>9605</v>
      </c>
      <c r="AM26" s="24">
        <v>0.46048932847475199</v>
      </c>
      <c r="AN26" s="44" t="str">
        <f>VLOOKUP(flu_aw25[[#This Row],[trust_code]],trust_lookup[],3,0)</f>
        <v>King's</v>
      </c>
      <c r="AP26" s="2" t="s">
        <v>161</v>
      </c>
      <c r="AQ26" s="2" t="s">
        <v>162</v>
      </c>
      <c r="AR26" s="2" t="s">
        <v>27</v>
      </c>
      <c r="AS26" s="2" t="s">
        <v>520</v>
      </c>
      <c r="AT26" s="2">
        <v>41</v>
      </c>
      <c r="AU26" s="44" t="str">
        <f>VLOOKUP(flu_location[[#This Row],[trust_code]],trust_lookup[],3,0)</f>
        <v>RNOH</v>
      </c>
      <c r="AW26" s="2" t="s">
        <v>25</v>
      </c>
      <c r="AX26" s="2" t="s">
        <v>26</v>
      </c>
      <c r="AY26" s="2" t="s">
        <v>651</v>
      </c>
      <c r="AZ26" s="2">
        <v>726</v>
      </c>
      <c r="BA26" s="2">
        <v>171</v>
      </c>
      <c r="BB26" s="44" t="str">
        <f>VLOOKUP(age_group[[#This Row],[trust_code]],trust_lookup[],3,0)</f>
        <v>CNWL</v>
      </c>
    </row>
    <row r="27" spans="1:54" x14ac:dyDescent="0.35">
      <c r="A27" s="2" t="s">
        <v>518</v>
      </c>
      <c r="B27" s="2" t="s">
        <v>89</v>
      </c>
      <c r="C27" s="2" t="s">
        <v>90</v>
      </c>
      <c r="D27" s="2" t="s">
        <v>193</v>
      </c>
      <c r="E27" s="2" t="s">
        <v>67</v>
      </c>
      <c r="F27" s="2">
        <v>1083</v>
      </c>
      <c r="G27" s="2">
        <v>471</v>
      </c>
      <c r="H27" s="14" t="str">
        <f>VLOOKUP(flu_group[[#This Row],[trust_code]],trust_lookup[],3,0)</f>
        <v>GSTT</v>
      </c>
      <c r="I27" s="14" t="str">
        <f>VLOOKUP(flu_group[[#This Row],[trust_code]],trust_lookup[],4,0)</f>
        <v>Acute</v>
      </c>
      <c r="K27" s="2" t="s">
        <v>518</v>
      </c>
      <c r="L27" s="2" t="s">
        <v>136</v>
      </c>
      <c r="M27" s="2" t="s">
        <v>137</v>
      </c>
      <c r="N27" s="2" t="s">
        <v>27</v>
      </c>
      <c r="O27" s="2" t="s">
        <v>94</v>
      </c>
      <c r="P27" s="2">
        <v>15</v>
      </c>
      <c r="R27" s="43">
        <v>45691</v>
      </c>
      <c r="S27" s="2">
        <v>6</v>
      </c>
      <c r="T27" s="2" t="s">
        <v>519</v>
      </c>
      <c r="U27" s="2" t="s">
        <v>30</v>
      </c>
      <c r="V27" s="2" t="s">
        <v>31</v>
      </c>
      <c r="W27" s="2" t="s">
        <v>190</v>
      </c>
      <c r="X27" s="23">
        <v>16</v>
      </c>
      <c r="Y27" s="23">
        <v>2798</v>
      </c>
      <c r="Z27" s="23">
        <v>6933</v>
      </c>
      <c r="AA27" s="24">
        <v>0.403577095052646</v>
      </c>
      <c r="AB27" s="14" t="str">
        <f>VLOOKUP(flu_aw24[[#This Row],[trust_code]],trust_lookup[],3,0)</f>
        <v>BHR</v>
      </c>
      <c r="AD27" s="43">
        <v>46069</v>
      </c>
      <c r="AE27" s="2">
        <v>8</v>
      </c>
      <c r="AF27" s="2" t="s">
        <v>518</v>
      </c>
      <c r="AG27" s="2" t="s">
        <v>107</v>
      </c>
      <c r="AH27" s="2" t="s">
        <v>108</v>
      </c>
      <c r="AI27" s="2" t="s">
        <v>193</v>
      </c>
      <c r="AJ27" s="23">
        <v>18</v>
      </c>
      <c r="AK27" s="23">
        <v>4441</v>
      </c>
      <c r="AL27" s="23">
        <v>9605</v>
      </c>
      <c r="AM27" s="24">
        <v>0.46236335242061399</v>
      </c>
      <c r="AN27" s="44" t="str">
        <f>VLOOKUP(flu_aw25[[#This Row],[trust_code]],trust_lookup[],3,0)</f>
        <v>King's</v>
      </c>
      <c r="AP27" s="2" t="s">
        <v>161</v>
      </c>
      <c r="AQ27" s="2" t="s">
        <v>162</v>
      </c>
      <c r="AR27" s="2" t="s">
        <v>27</v>
      </c>
      <c r="AS27" s="2" t="s">
        <v>521</v>
      </c>
      <c r="AT27" s="2">
        <v>359</v>
      </c>
      <c r="AU27" s="44" t="str">
        <f>VLOOKUP(flu_location[[#This Row],[trust_code]],trust_lookup[],3,0)</f>
        <v>RNOH</v>
      </c>
      <c r="AW27" s="2" t="s">
        <v>25</v>
      </c>
      <c r="AX27" s="2" t="s">
        <v>26</v>
      </c>
      <c r="AY27" s="2" t="s">
        <v>652</v>
      </c>
      <c r="AZ27" s="2">
        <v>745</v>
      </c>
      <c r="BA27" s="2">
        <v>219</v>
      </c>
      <c r="BB27" s="44" t="str">
        <f>VLOOKUP(age_group[[#This Row],[trust_code]],trust_lookup[],3,0)</f>
        <v>CNWL</v>
      </c>
    </row>
    <row r="28" spans="1:54" x14ac:dyDescent="0.35">
      <c r="A28" s="2" t="s">
        <v>518</v>
      </c>
      <c r="B28" s="2" t="s">
        <v>48</v>
      </c>
      <c r="C28" s="2" t="s">
        <v>49</v>
      </c>
      <c r="D28" s="2" t="s">
        <v>192</v>
      </c>
      <c r="E28" s="2" t="s">
        <v>67</v>
      </c>
      <c r="F28" s="2">
        <v>91</v>
      </c>
      <c r="G28" s="2">
        <v>36</v>
      </c>
      <c r="H28" s="14" t="str">
        <f>VLOOKUP(flu_group[[#This Row],[trust_code]],trust_lookup[],3,0)</f>
        <v>CLCH</v>
      </c>
      <c r="I28" s="14" t="str">
        <f>VLOOKUP(flu_group[[#This Row],[trust_code]],trust_lookup[],4,0)</f>
        <v>Community</v>
      </c>
      <c r="K28" s="2" t="s">
        <v>518</v>
      </c>
      <c r="L28" s="2" t="s">
        <v>136</v>
      </c>
      <c r="M28" s="2" t="s">
        <v>137</v>
      </c>
      <c r="N28" s="2" t="s">
        <v>27</v>
      </c>
      <c r="O28" s="2" t="s">
        <v>29</v>
      </c>
      <c r="P28" s="2">
        <v>26</v>
      </c>
      <c r="R28" s="43">
        <v>45698</v>
      </c>
      <c r="S28" s="2">
        <v>7</v>
      </c>
      <c r="T28" s="2" t="s">
        <v>519</v>
      </c>
      <c r="U28" s="2" t="s">
        <v>30</v>
      </c>
      <c r="V28" s="2" t="s">
        <v>31</v>
      </c>
      <c r="W28" s="2" t="s">
        <v>190</v>
      </c>
      <c r="X28" s="23">
        <v>13</v>
      </c>
      <c r="Y28" s="23">
        <v>2811</v>
      </c>
      <c r="Z28" s="23">
        <v>6933</v>
      </c>
      <c r="AA28" s="24">
        <v>0.40545218520121101</v>
      </c>
      <c r="AB28" s="14" t="str">
        <f>VLOOKUP(flu_aw24[[#This Row],[trust_code]],trust_lookup[],3,0)</f>
        <v>BHR</v>
      </c>
      <c r="AD28" s="43">
        <v>46076</v>
      </c>
      <c r="AE28" s="2">
        <v>9</v>
      </c>
      <c r="AF28" s="2" t="s">
        <v>518</v>
      </c>
      <c r="AG28" s="2" t="s">
        <v>107</v>
      </c>
      <c r="AH28" s="2" t="s">
        <v>108</v>
      </c>
      <c r="AI28" s="2" t="s">
        <v>193</v>
      </c>
      <c r="AJ28" s="23">
        <v>6</v>
      </c>
      <c r="AK28" s="23">
        <v>4447</v>
      </c>
      <c r="AL28" s="23">
        <v>9605</v>
      </c>
      <c r="AM28" s="24">
        <v>0.46298802706923398</v>
      </c>
      <c r="AN28" s="44" t="str">
        <f>VLOOKUP(flu_aw25[[#This Row],[trust_code]],trust_lookup[],3,0)</f>
        <v>King's</v>
      </c>
      <c r="AP28" s="2" t="s">
        <v>161</v>
      </c>
      <c r="AQ28" s="2" t="s">
        <v>162</v>
      </c>
      <c r="AR28" s="2" t="s">
        <v>27</v>
      </c>
      <c r="AS28" s="2" t="s">
        <v>522</v>
      </c>
      <c r="AT28" s="2">
        <v>26</v>
      </c>
      <c r="AU28" s="44" t="str">
        <f>VLOOKUP(flu_location[[#This Row],[trust_code]],trust_lookup[],3,0)</f>
        <v>RNOH</v>
      </c>
      <c r="AW28" s="2" t="s">
        <v>25</v>
      </c>
      <c r="AX28" s="2" t="s">
        <v>26</v>
      </c>
      <c r="AY28" s="2" t="s">
        <v>653</v>
      </c>
      <c r="AZ28" s="2">
        <v>708</v>
      </c>
      <c r="BA28" s="2">
        <v>212</v>
      </c>
      <c r="BB28" s="44" t="str">
        <f>VLOOKUP(age_group[[#This Row],[trust_code]],trust_lookup[],3,0)</f>
        <v>CNWL</v>
      </c>
    </row>
    <row r="29" spans="1:54" x14ac:dyDescent="0.35">
      <c r="A29" s="2" t="s">
        <v>518</v>
      </c>
      <c r="B29" s="2" t="s">
        <v>164</v>
      </c>
      <c r="C29" s="2" t="s">
        <v>165</v>
      </c>
      <c r="D29" s="2" t="s">
        <v>193</v>
      </c>
      <c r="E29" s="2" t="s">
        <v>67</v>
      </c>
      <c r="F29" s="2">
        <v>1299</v>
      </c>
      <c r="G29" s="2">
        <v>588</v>
      </c>
      <c r="H29" s="14" t="str">
        <f>VLOOKUP(flu_group[[#This Row],[trust_code]],trust_lookup[],3,0)</f>
        <v>SLAM</v>
      </c>
      <c r="I29" s="14" t="str">
        <f>VLOOKUP(flu_group[[#This Row],[trust_code]],trust_lookup[],4,0)</f>
        <v>Mental Health</v>
      </c>
      <c r="K29" s="2" t="s">
        <v>518</v>
      </c>
      <c r="L29" s="2" t="s">
        <v>136</v>
      </c>
      <c r="M29" s="2" t="s">
        <v>137</v>
      </c>
      <c r="N29" s="2" t="s">
        <v>27</v>
      </c>
      <c r="O29" s="2" t="s">
        <v>123</v>
      </c>
      <c r="P29" s="2">
        <v>131</v>
      </c>
      <c r="R29" s="43">
        <v>45705</v>
      </c>
      <c r="S29" s="2">
        <v>8</v>
      </c>
      <c r="T29" s="2" t="s">
        <v>519</v>
      </c>
      <c r="U29" s="2" t="s">
        <v>30</v>
      </c>
      <c r="V29" s="2" t="s">
        <v>31</v>
      </c>
      <c r="W29" s="2" t="s">
        <v>190</v>
      </c>
      <c r="X29" s="23">
        <v>12</v>
      </c>
      <c r="Y29" s="23">
        <v>2823</v>
      </c>
      <c r="Z29" s="23">
        <v>6933</v>
      </c>
      <c r="AA29" s="24">
        <v>0.40718303764604002</v>
      </c>
      <c r="AB29" s="14" t="str">
        <f>VLOOKUP(flu_aw24[[#This Row],[trust_code]],trust_lookup[],3,0)</f>
        <v>BHR</v>
      </c>
      <c r="AD29" s="43">
        <v>45915</v>
      </c>
      <c r="AE29" s="2">
        <v>38</v>
      </c>
      <c r="AF29" s="2" t="s">
        <v>518</v>
      </c>
      <c r="AG29" s="2" t="s">
        <v>25</v>
      </c>
      <c r="AH29" s="2" t="s">
        <v>26</v>
      </c>
      <c r="AI29" s="2" t="s">
        <v>27</v>
      </c>
      <c r="AJ29" s="23">
        <v>4</v>
      </c>
      <c r="AK29" s="23">
        <v>4</v>
      </c>
      <c r="AL29" s="23">
        <v>5870</v>
      </c>
      <c r="AM29" s="24">
        <v>6.8143100511073196E-4</v>
      </c>
      <c r="AN29" s="44" t="str">
        <f>VLOOKUP(flu_aw25[[#This Row],[trust_code]],trust_lookup[],3,0)</f>
        <v>CNWL</v>
      </c>
      <c r="AP29" s="2" t="s">
        <v>161</v>
      </c>
      <c r="AQ29" s="2" t="s">
        <v>162</v>
      </c>
      <c r="AR29" s="2" t="s">
        <v>27</v>
      </c>
      <c r="AS29" s="2" t="s">
        <v>524</v>
      </c>
      <c r="AT29" s="2">
        <v>1</v>
      </c>
      <c r="AU29" s="44" t="str">
        <f>VLOOKUP(flu_location[[#This Row],[trust_code]],trust_lookup[],3,0)</f>
        <v>RNOH</v>
      </c>
      <c r="AW29" s="2" t="s">
        <v>25</v>
      </c>
      <c r="AX29" s="2" t="s">
        <v>26</v>
      </c>
      <c r="AY29" s="2" t="s">
        <v>654</v>
      </c>
      <c r="AZ29" s="2">
        <v>678</v>
      </c>
      <c r="BA29" s="2">
        <v>204</v>
      </c>
      <c r="BB29" s="44" t="str">
        <f>VLOOKUP(age_group[[#This Row],[trust_code]],trust_lookup[],3,0)</f>
        <v>CNWL</v>
      </c>
    </row>
    <row r="30" spans="1:54" x14ac:dyDescent="0.35">
      <c r="A30" s="2" t="s">
        <v>518</v>
      </c>
      <c r="B30" s="2" t="s">
        <v>170</v>
      </c>
      <c r="C30" s="2" t="s">
        <v>171</v>
      </c>
      <c r="D30" s="2" t="s">
        <v>194</v>
      </c>
      <c r="E30" s="2" t="s">
        <v>67</v>
      </c>
      <c r="F30" s="2">
        <v>314</v>
      </c>
      <c r="G30" s="2">
        <v>125</v>
      </c>
      <c r="H30" s="14" t="str">
        <f>VLOOKUP(flu_group[[#This Row],[trust_code]],trust_lookup[],3,0)</f>
        <v>St George's</v>
      </c>
      <c r="I30" s="14" t="str">
        <f>VLOOKUP(flu_group[[#This Row],[trust_code]],trust_lookup[],4,0)</f>
        <v>Acute</v>
      </c>
      <c r="K30" s="2" t="s">
        <v>518</v>
      </c>
      <c r="L30" s="2" t="s">
        <v>136</v>
      </c>
      <c r="M30" s="2" t="s">
        <v>137</v>
      </c>
      <c r="N30" s="2" t="s">
        <v>27</v>
      </c>
      <c r="O30" s="2" t="s">
        <v>82</v>
      </c>
      <c r="P30" s="2">
        <v>16</v>
      </c>
      <c r="R30" s="43">
        <v>45712</v>
      </c>
      <c r="S30" s="2">
        <v>9</v>
      </c>
      <c r="T30" s="2" t="s">
        <v>519</v>
      </c>
      <c r="U30" s="2" t="s">
        <v>30</v>
      </c>
      <c r="V30" s="2" t="s">
        <v>31</v>
      </c>
      <c r="W30" s="2" t="s">
        <v>190</v>
      </c>
      <c r="X30" s="23">
        <v>7</v>
      </c>
      <c r="Y30" s="23">
        <v>2830</v>
      </c>
      <c r="Z30" s="23">
        <v>6933</v>
      </c>
      <c r="AA30" s="24">
        <v>0.40819270157219001</v>
      </c>
      <c r="AB30" s="14" t="str">
        <f>VLOOKUP(flu_aw24[[#This Row],[trust_code]],trust_lookup[],3,0)</f>
        <v>BHR</v>
      </c>
      <c r="AD30" s="43">
        <v>45922</v>
      </c>
      <c r="AE30" s="2">
        <v>39</v>
      </c>
      <c r="AF30" s="2" t="s">
        <v>518</v>
      </c>
      <c r="AG30" s="2" t="s">
        <v>25</v>
      </c>
      <c r="AH30" s="2" t="s">
        <v>26</v>
      </c>
      <c r="AI30" s="2" t="s">
        <v>27</v>
      </c>
      <c r="AJ30" s="23">
        <v>2</v>
      </c>
      <c r="AK30" s="23">
        <v>6</v>
      </c>
      <c r="AL30" s="23">
        <v>5870</v>
      </c>
      <c r="AM30" s="24">
        <v>1.02214650766609E-3</v>
      </c>
      <c r="AN30" s="44" t="str">
        <f>VLOOKUP(flu_aw25[[#This Row],[trust_code]],trust_lookup[],3,0)</f>
        <v>CNWL</v>
      </c>
      <c r="AP30" s="2" t="s">
        <v>173</v>
      </c>
      <c r="AQ30" s="2" t="s">
        <v>174</v>
      </c>
      <c r="AR30" s="2" t="s">
        <v>27</v>
      </c>
      <c r="AS30" s="2" t="s">
        <v>520</v>
      </c>
      <c r="AT30" s="2">
        <v>25</v>
      </c>
      <c r="AU30" s="44" t="str">
        <f>VLOOKUP(flu_location[[#This Row],[trust_code]],trust_lookup[],3,0)</f>
        <v>T&amp;P</v>
      </c>
      <c r="AW30" s="2" t="s">
        <v>25</v>
      </c>
      <c r="AX30" s="2" t="s">
        <v>26</v>
      </c>
      <c r="AY30" s="2" t="s">
        <v>655</v>
      </c>
      <c r="AZ30" s="2">
        <v>741</v>
      </c>
      <c r="BA30" s="2">
        <v>251</v>
      </c>
      <c r="BB30" s="44" t="str">
        <f>VLOOKUP(age_group[[#This Row],[trust_code]],trust_lookup[],3,0)</f>
        <v>CNWL</v>
      </c>
    </row>
    <row r="31" spans="1:54" x14ac:dyDescent="0.35">
      <c r="A31" s="2" t="s">
        <v>518</v>
      </c>
      <c r="B31" s="2" t="s">
        <v>176</v>
      </c>
      <c r="C31" s="2" t="s">
        <v>177</v>
      </c>
      <c r="D31" s="2" t="s">
        <v>192</v>
      </c>
      <c r="E31" s="2" t="s">
        <v>67</v>
      </c>
      <c r="F31" s="2">
        <v>94</v>
      </c>
      <c r="G31" s="2">
        <v>26</v>
      </c>
      <c r="H31" s="14" t="str">
        <f>VLOOKUP(flu_group[[#This Row],[trust_code]],trust_lookup[],3,0)</f>
        <v>Hillingdon</v>
      </c>
      <c r="I31" s="14" t="str">
        <f>VLOOKUP(flu_group[[#This Row],[trust_code]],trust_lookup[],4,0)</f>
        <v>Acute</v>
      </c>
      <c r="K31" s="2" t="s">
        <v>518</v>
      </c>
      <c r="L31" s="2" t="s">
        <v>136</v>
      </c>
      <c r="M31" s="2" t="s">
        <v>137</v>
      </c>
      <c r="N31" s="2" t="s">
        <v>27</v>
      </c>
      <c r="O31" s="2" t="s">
        <v>88</v>
      </c>
      <c r="P31" s="2">
        <v>7</v>
      </c>
      <c r="R31" s="43">
        <v>45719</v>
      </c>
      <c r="S31" s="2">
        <v>10</v>
      </c>
      <c r="T31" s="2" t="s">
        <v>519</v>
      </c>
      <c r="U31" s="2" t="s">
        <v>30</v>
      </c>
      <c r="V31" s="2" t="s">
        <v>31</v>
      </c>
      <c r="W31" s="2" t="s">
        <v>190</v>
      </c>
      <c r="X31" s="23">
        <v>2</v>
      </c>
      <c r="Y31" s="23">
        <v>2832</v>
      </c>
      <c r="Z31" s="23">
        <v>6933</v>
      </c>
      <c r="AA31" s="24">
        <v>0.40848117697966202</v>
      </c>
      <c r="AB31" s="14" t="str">
        <f>VLOOKUP(flu_aw24[[#This Row],[trust_code]],trust_lookup[],3,0)</f>
        <v>BHR</v>
      </c>
      <c r="AD31" s="43">
        <v>45929</v>
      </c>
      <c r="AE31" s="2">
        <v>40</v>
      </c>
      <c r="AF31" s="2" t="s">
        <v>518</v>
      </c>
      <c r="AG31" s="2" t="s">
        <v>25</v>
      </c>
      <c r="AH31" s="2" t="s">
        <v>26</v>
      </c>
      <c r="AI31" s="2" t="s">
        <v>27</v>
      </c>
      <c r="AJ31" s="23">
        <v>177</v>
      </c>
      <c r="AK31" s="23">
        <v>183</v>
      </c>
      <c r="AL31" s="23">
        <v>5870</v>
      </c>
      <c r="AM31" s="24">
        <v>3.1175468483815999E-2</v>
      </c>
      <c r="AN31" s="44" t="str">
        <f>VLOOKUP(flu_aw25[[#This Row],[trust_code]],trust_lookup[],3,0)</f>
        <v>CNWL</v>
      </c>
      <c r="AP31" s="2" t="s">
        <v>173</v>
      </c>
      <c r="AQ31" s="2" t="s">
        <v>174</v>
      </c>
      <c r="AR31" s="2" t="s">
        <v>27</v>
      </c>
      <c r="AS31" s="2" t="s">
        <v>521</v>
      </c>
      <c r="AT31" s="2">
        <v>23</v>
      </c>
      <c r="AU31" s="44" t="str">
        <f>VLOOKUP(flu_location[[#This Row],[trust_code]],trust_lookup[],3,0)</f>
        <v>T&amp;P</v>
      </c>
      <c r="AW31" s="2" t="s">
        <v>25</v>
      </c>
      <c r="AX31" s="2" t="s">
        <v>26</v>
      </c>
      <c r="AY31" s="2" t="s">
        <v>656</v>
      </c>
      <c r="AZ31" s="2">
        <v>691</v>
      </c>
      <c r="BA31" s="2">
        <v>268</v>
      </c>
      <c r="BB31" s="44" t="str">
        <f>VLOOKUP(age_group[[#This Row],[trust_code]],trust_lookup[],3,0)</f>
        <v>CNWL</v>
      </c>
    </row>
    <row r="32" spans="1:54" x14ac:dyDescent="0.35">
      <c r="A32" s="2" t="s">
        <v>518</v>
      </c>
      <c r="B32" s="2" t="s">
        <v>185</v>
      </c>
      <c r="C32" s="2" t="s">
        <v>186</v>
      </c>
      <c r="D32" s="2" t="s">
        <v>27</v>
      </c>
      <c r="E32" s="2" t="s">
        <v>67</v>
      </c>
      <c r="F32" s="2">
        <v>296</v>
      </c>
      <c r="G32" s="2">
        <v>119</v>
      </c>
      <c r="H32" s="14" t="str">
        <f>VLOOKUP(flu_group[[#This Row],[trust_code]],trust_lookup[],3,0)</f>
        <v>Whittington</v>
      </c>
      <c r="I32" s="14" t="str">
        <f>VLOOKUP(flu_group[[#This Row],[trust_code]],trust_lookup[],4,0)</f>
        <v>Acute &amp; Community</v>
      </c>
      <c r="K32" s="2" t="s">
        <v>518</v>
      </c>
      <c r="L32" s="2" t="s">
        <v>136</v>
      </c>
      <c r="M32" s="2" t="s">
        <v>137</v>
      </c>
      <c r="N32" s="2" t="s">
        <v>27</v>
      </c>
      <c r="O32" s="2" t="s">
        <v>141</v>
      </c>
      <c r="P32" s="2">
        <v>127</v>
      </c>
      <c r="R32" s="43">
        <v>45726</v>
      </c>
      <c r="S32" s="2">
        <v>11</v>
      </c>
      <c r="T32" s="2" t="s">
        <v>519</v>
      </c>
      <c r="U32" s="2" t="s">
        <v>30</v>
      </c>
      <c r="V32" s="2" t="s">
        <v>31</v>
      </c>
      <c r="W32" s="2" t="s">
        <v>190</v>
      </c>
      <c r="X32" s="23">
        <v>1</v>
      </c>
      <c r="Y32" s="23">
        <v>2833</v>
      </c>
      <c r="Z32" s="23">
        <v>6933</v>
      </c>
      <c r="AA32" s="24">
        <v>0.40862541468339802</v>
      </c>
      <c r="AB32" s="14" t="str">
        <f>VLOOKUP(flu_aw24[[#This Row],[trust_code]],trust_lookup[],3,0)</f>
        <v>BHR</v>
      </c>
      <c r="AD32" s="43">
        <v>45936</v>
      </c>
      <c r="AE32" s="2">
        <v>41</v>
      </c>
      <c r="AF32" s="2" t="s">
        <v>518</v>
      </c>
      <c r="AG32" s="2" t="s">
        <v>25</v>
      </c>
      <c r="AH32" s="2" t="s">
        <v>26</v>
      </c>
      <c r="AI32" s="2" t="s">
        <v>27</v>
      </c>
      <c r="AJ32" s="23">
        <v>272</v>
      </c>
      <c r="AK32" s="23">
        <v>455</v>
      </c>
      <c r="AL32" s="23">
        <v>5870</v>
      </c>
      <c r="AM32" s="24">
        <v>7.7512776831345803E-2</v>
      </c>
      <c r="AN32" s="44" t="str">
        <f>VLOOKUP(flu_aw25[[#This Row],[trust_code]],trust_lookup[],3,0)</f>
        <v>CNWL</v>
      </c>
      <c r="AP32" s="2" t="s">
        <v>173</v>
      </c>
      <c r="AQ32" s="2" t="s">
        <v>174</v>
      </c>
      <c r="AR32" s="2" t="s">
        <v>27</v>
      </c>
      <c r="AS32" s="2" t="s">
        <v>522</v>
      </c>
      <c r="AT32" s="2">
        <v>120</v>
      </c>
      <c r="AU32" s="44" t="str">
        <f>VLOOKUP(flu_location[[#This Row],[trust_code]],trust_lookup[],3,0)</f>
        <v>T&amp;P</v>
      </c>
      <c r="AW32" s="2" t="s">
        <v>25</v>
      </c>
      <c r="AX32" s="2" t="s">
        <v>26</v>
      </c>
      <c r="AY32" s="2" t="s">
        <v>657</v>
      </c>
      <c r="AZ32" s="2">
        <v>659</v>
      </c>
      <c r="BA32" s="2">
        <v>257</v>
      </c>
      <c r="BB32" s="44" t="str">
        <f>VLOOKUP(age_group[[#This Row],[trust_code]],trust_lookup[],3,0)</f>
        <v>CNWL</v>
      </c>
    </row>
    <row r="33" spans="1:54" x14ac:dyDescent="0.35">
      <c r="A33" s="2" t="s">
        <v>518</v>
      </c>
      <c r="B33" s="2" t="s">
        <v>179</v>
      </c>
      <c r="C33" s="2" t="s">
        <v>180</v>
      </c>
      <c r="D33" s="2" t="s">
        <v>194</v>
      </c>
      <c r="E33" s="2" t="s">
        <v>67</v>
      </c>
      <c r="F33" s="2">
        <v>199</v>
      </c>
      <c r="G33" s="2">
        <v>84</v>
      </c>
      <c r="H33" s="14" t="str">
        <f>VLOOKUP(flu_group[[#This Row],[trust_code]],trust_lookup[],3,0)</f>
        <v>Marsden</v>
      </c>
      <c r="I33" s="14" t="str">
        <f>VLOOKUP(flu_group[[#This Row],[trust_code]],trust_lookup[],4,0)</f>
        <v>Specialist</v>
      </c>
      <c r="K33" s="2" t="s">
        <v>518</v>
      </c>
      <c r="L33" s="2" t="s">
        <v>136</v>
      </c>
      <c r="M33" s="2" t="s">
        <v>137</v>
      </c>
      <c r="N33" s="2" t="s">
        <v>27</v>
      </c>
      <c r="O33" s="2" t="s">
        <v>61</v>
      </c>
      <c r="P33" s="2">
        <v>21</v>
      </c>
      <c r="R33" s="43">
        <v>45733</v>
      </c>
      <c r="S33" s="2">
        <v>12</v>
      </c>
      <c r="T33" s="2" t="s">
        <v>519</v>
      </c>
      <c r="U33" s="2" t="s">
        <v>30</v>
      </c>
      <c r="V33" s="2" t="s">
        <v>31</v>
      </c>
      <c r="W33" s="2" t="s">
        <v>190</v>
      </c>
      <c r="X33" s="23">
        <v>3</v>
      </c>
      <c r="Y33" s="23">
        <v>2836</v>
      </c>
      <c r="Z33" s="23">
        <v>6933</v>
      </c>
      <c r="AA33" s="24">
        <v>0.40905812779460499</v>
      </c>
      <c r="AB33" s="14" t="str">
        <f>VLOOKUP(flu_aw24[[#This Row],[trust_code]],trust_lookup[],3,0)</f>
        <v>BHR</v>
      </c>
      <c r="AD33" s="43">
        <v>45943</v>
      </c>
      <c r="AE33" s="2">
        <v>42</v>
      </c>
      <c r="AF33" s="2" t="s">
        <v>518</v>
      </c>
      <c r="AG33" s="2" t="s">
        <v>25</v>
      </c>
      <c r="AH33" s="2" t="s">
        <v>26</v>
      </c>
      <c r="AI33" s="2" t="s">
        <v>27</v>
      </c>
      <c r="AJ33" s="23">
        <v>324</v>
      </c>
      <c r="AK33" s="23">
        <v>779</v>
      </c>
      <c r="AL33" s="23">
        <v>5870</v>
      </c>
      <c r="AM33" s="24">
        <v>0.13270868824531501</v>
      </c>
      <c r="AN33" s="44" t="str">
        <f>VLOOKUP(flu_aw25[[#This Row],[trust_code]],trust_lookup[],3,0)</f>
        <v>CNWL</v>
      </c>
      <c r="AP33" s="2" t="s">
        <v>182</v>
      </c>
      <c r="AQ33" s="2" t="s">
        <v>183</v>
      </c>
      <c r="AR33" s="2" t="s">
        <v>27</v>
      </c>
      <c r="AS33" s="2" t="s">
        <v>520</v>
      </c>
      <c r="AT33" s="2">
        <v>309</v>
      </c>
      <c r="AU33" s="44" t="str">
        <f>VLOOKUP(flu_location[[#This Row],[trust_code]],trust_lookup[],3,0)</f>
        <v>UCLH</v>
      </c>
      <c r="AW33" s="2" t="s">
        <v>25</v>
      </c>
      <c r="AX33" s="2" t="s">
        <v>26</v>
      </c>
      <c r="AY33" s="2" t="s">
        <v>658</v>
      </c>
      <c r="AZ33" s="2">
        <v>481</v>
      </c>
      <c r="BA33" s="2">
        <v>237</v>
      </c>
      <c r="BB33" s="44" t="str">
        <f>VLOOKUP(age_group[[#This Row],[trust_code]],trust_lookup[],3,0)</f>
        <v>CNWL</v>
      </c>
    </row>
    <row r="34" spans="1:54" x14ac:dyDescent="0.35">
      <c r="A34" s="2" t="s">
        <v>518</v>
      </c>
      <c r="B34" s="2" t="s">
        <v>62</v>
      </c>
      <c r="C34" s="2" t="s">
        <v>63</v>
      </c>
      <c r="D34" s="2" t="s">
        <v>194</v>
      </c>
      <c r="E34" s="2" t="s">
        <v>67</v>
      </c>
      <c r="F34" s="2">
        <v>135</v>
      </c>
      <c r="G34" s="2">
        <v>61</v>
      </c>
      <c r="H34" s="14" t="str">
        <f>VLOOKUP(flu_group[[#This Row],[trust_code]],trust_lookup[],3,0)</f>
        <v>Croydon</v>
      </c>
      <c r="I34" s="14" t="str">
        <f>VLOOKUP(flu_group[[#This Row],[trust_code]],trust_lookup[],4,0)</f>
        <v>Acute &amp; Community</v>
      </c>
      <c r="K34" s="2" t="s">
        <v>518</v>
      </c>
      <c r="L34" s="2" t="s">
        <v>136</v>
      </c>
      <c r="M34" s="2" t="s">
        <v>137</v>
      </c>
      <c r="N34" s="2" t="s">
        <v>27</v>
      </c>
      <c r="O34" s="2" t="s">
        <v>100</v>
      </c>
      <c r="P34" s="2">
        <v>77</v>
      </c>
      <c r="R34" s="43">
        <v>45740</v>
      </c>
      <c r="S34" s="2">
        <v>13</v>
      </c>
      <c r="T34" s="2" t="s">
        <v>519</v>
      </c>
      <c r="U34" s="2" t="s">
        <v>30</v>
      </c>
      <c r="V34" s="2" t="s">
        <v>31</v>
      </c>
      <c r="W34" s="2" t="s">
        <v>190</v>
      </c>
      <c r="X34" s="23">
        <v>2</v>
      </c>
      <c r="Y34" s="23">
        <v>2838</v>
      </c>
      <c r="Z34" s="23">
        <v>6933</v>
      </c>
      <c r="AA34" s="24">
        <v>0.409346603202077</v>
      </c>
      <c r="AB34" s="14" t="str">
        <f>VLOOKUP(flu_aw24[[#This Row],[trust_code]],trust_lookup[],3,0)</f>
        <v>BHR</v>
      </c>
      <c r="AD34" s="43">
        <v>45950</v>
      </c>
      <c r="AE34" s="2">
        <v>43</v>
      </c>
      <c r="AF34" s="2" t="s">
        <v>518</v>
      </c>
      <c r="AG34" s="2" t="s">
        <v>25</v>
      </c>
      <c r="AH34" s="2" t="s">
        <v>26</v>
      </c>
      <c r="AI34" s="2" t="s">
        <v>27</v>
      </c>
      <c r="AJ34" s="23">
        <v>255</v>
      </c>
      <c r="AK34" s="23">
        <v>1034</v>
      </c>
      <c r="AL34" s="23">
        <v>5870</v>
      </c>
      <c r="AM34" s="24">
        <v>0.17614991482112399</v>
      </c>
      <c r="AN34" s="44" t="str">
        <f>VLOOKUP(flu_aw25[[#This Row],[trust_code]],trust_lookup[],3,0)</f>
        <v>CNWL</v>
      </c>
      <c r="AP34" s="2" t="s">
        <v>182</v>
      </c>
      <c r="AQ34" s="2" t="s">
        <v>183</v>
      </c>
      <c r="AR34" s="2" t="s">
        <v>27</v>
      </c>
      <c r="AS34" s="2" t="s">
        <v>521</v>
      </c>
      <c r="AT34" s="2">
        <v>3044</v>
      </c>
      <c r="AU34" s="44" t="str">
        <f>VLOOKUP(flu_location[[#This Row],[trust_code]],trust_lookup[],3,0)</f>
        <v>UCLH</v>
      </c>
      <c r="AW34" s="2" t="s">
        <v>25</v>
      </c>
      <c r="AX34" s="2" t="s">
        <v>26</v>
      </c>
      <c r="AY34" s="2" t="s">
        <v>659</v>
      </c>
      <c r="AZ34" s="2">
        <v>218</v>
      </c>
      <c r="BA34" s="2">
        <v>129</v>
      </c>
      <c r="BB34" s="44" t="str">
        <f>VLOOKUP(age_group[[#This Row],[trust_code]],trust_lookup[],3,0)</f>
        <v>CNWL</v>
      </c>
    </row>
    <row r="35" spans="1:54" x14ac:dyDescent="0.35">
      <c r="A35" s="2" t="s">
        <v>518</v>
      </c>
      <c r="B35" s="2" t="s">
        <v>161</v>
      </c>
      <c r="C35" s="2" t="s">
        <v>162</v>
      </c>
      <c r="D35" s="2" t="s">
        <v>27</v>
      </c>
      <c r="E35" s="2" t="s">
        <v>67</v>
      </c>
      <c r="F35" s="2">
        <v>48</v>
      </c>
      <c r="G35" s="2">
        <v>23</v>
      </c>
      <c r="H35" s="14" t="str">
        <f>VLOOKUP(flu_group[[#This Row],[trust_code]],trust_lookup[],3,0)</f>
        <v>RNOH</v>
      </c>
      <c r="I35" s="14" t="str">
        <f>VLOOKUP(flu_group[[#This Row],[trust_code]],trust_lookup[],4,0)</f>
        <v>Specialist</v>
      </c>
      <c r="K35" s="2" t="s">
        <v>518</v>
      </c>
      <c r="L35" s="2" t="s">
        <v>136</v>
      </c>
      <c r="M35" s="2" t="s">
        <v>137</v>
      </c>
      <c r="N35" s="2" t="s">
        <v>27</v>
      </c>
      <c r="O35" s="2" t="s">
        <v>75</v>
      </c>
      <c r="P35" s="2">
        <v>25</v>
      </c>
      <c r="R35" s="43">
        <v>45537</v>
      </c>
      <c r="S35" s="2">
        <v>36</v>
      </c>
      <c r="T35" s="2" t="s">
        <v>519</v>
      </c>
      <c r="U35" s="2" t="s">
        <v>37</v>
      </c>
      <c r="V35" s="2" t="s">
        <v>38</v>
      </c>
      <c r="W35" s="2" t="s">
        <v>190</v>
      </c>
      <c r="X35" s="23">
        <v>1</v>
      </c>
      <c r="Y35" s="23">
        <v>1</v>
      </c>
      <c r="Z35" s="23">
        <v>21363</v>
      </c>
      <c r="AA35" s="24">
        <v>4.6809904975892901E-5</v>
      </c>
      <c r="AB35" s="14" t="str">
        <f>VLOOKUP(flu_aw24[[#This Row],[trust_code]],trust_lookup[],3,0)</f>
        <v>Barts</v>
      </c>
      <c r="AD35" s="43">
        <v>45957</v>
      </c>
      <c r="AE35" s="2">
        <v>44</v>
      </c>
      <c r="AF35" s="2" t="s">
        <v>518</v>
      </c>
      <c r="AG35" s="2" t="s">
        <v>25</v>
      </c>
      <c r="AH35" s="2" t="s">
        <v>26</v>
      </c>
      <c r="AI35" s="2" t="s">
        <v>27</v>
      </c>
      <c r="AJ35" s="23">
        <v>195</v>
      </c>
      <c r="AK35" s="23">
        <v>1229</v>
      </c>
      <c r="AL35" s="23">
        <v>5870</v>
      </c>
      <c r="AM35" s="24">
        <v>0.20936967632027201</v>
      </c>
      <c r="AN35" s="44" t="str">
        <f>VLOOKUP(flu_aw25[[#This Row],[trust_code]],trust_lookup[],3,0)</f>
        <v>CNWL</v>
      </c>
      <c r="AP35" s="2" t="s">
        <v>182</v>
      </c>
      <c r="AQ35" s="2" t="s">
        <v>183</v>
      </c>
      <c r="AR35" s="2" t="s">
        <v>27</v>
      </c>
      <c r="AS35" s="2" t="s">
        <v>522</v>
      </c>
      <c r="AT35" s="2">
        <v>295</v>
      </c>
      <c r="AU35" s="44" t="str">
        <f>VLOOKUP(flu_location[[#This Row],[trust_code]],trust_lookup[],3,0)</f>
        <v>UCLH</v>
      </c>
      <c r="AW35" s="2" t="s">
        <v>48</v>
      </c>
      <c r="AX35" s="2" t="s">
        <v>49</v>
      </c>
      <c r="AY35" s="2" t="s">
        <v>650</v>
      </c>
      <c r="AZ35" s="2">
        <v>82</v>
      </c>
      <c r="BA35" s="2">
        <v>23</v>
      </c>
      <c r="BB35" s="44" t="str">
        <f>VLOOKUP(age_group[[#This Row],[trust_code]],trust_lookup[],3,0)</f>
        <v>CLCH</v>
      </c>
    </row>
    <row r="36" spans="1:54" x14ac:dyDescent="0.35">
      <c r="A36" s="2" t="s">
        <v>518</v>
      </c>
      <c r="B36" s="2" t="s">
        <v>55</v>
      </c>
      <c r="C36" s="2" t="s">
        <v>56</v>
      </c>
      <c r="D36" s="2" t="s">
        <v>192</v>
      </c>
      <c r="E36" s="2" t="s">
        <v>81</v>
      </c>
      <c r="F36" s="2">
        <v>831</v>
      </c>
      <c r="G36" s="2">
        <v>268</v>
      </c>
      <c r="H36" s="14" t="str">
        <f>VLOOKUP(flu_group[[#This Row],[trust_code]],trust_lookup[],3,0)</f>
        <v>ChelWest</v>
      </c>
      <c r="I36" s="14" t="str">
        <f>VLOOKUP(flu_group[[#This Row],[trust_code]],trust_lookup[],4,0)</f>
        <v>Acute</v>
      </c>
      <c r="K36" s="2" t="s">
        <v>518</v>
      </c>
      <c r="L36" s="2" t="s">
        <v>136</v>
      </c>
      <c r="M36" s="2" t="s">
        <v>137</v>
      </c>
      <c r="N36" s="2" t="s">
        <v>27</v>
      </c>
      <c r="O36" s="2" t="s">
        <v>106</v>
      </c>
      <c r="P36" s="2">
        <v>23</v>
      </c>
      <c r="R36" s="43">
        <v>45544</v>
      </c>
      <c r="S36" s="2">
        <v>37</v>
      </c>
      <c r="T36" s="2" t="s">
        <v>519</v>
      </c>
      <c r="U36" s="2" t="s">
        <v>37</v>
      </c>
      <c r="V36" s="2" t="s">
        <v>38</v>
      </c>
      <c r="W36" s="2" t="s">
        <v>190</v>
      </c>
      <c r="X36" s="23">
        <v>9</v>
      </c>
      <c r="Y36" s="23">
        <v>10</v>
      </c>
      <c r="Z36" s="23">
        <v>21363</v>
      </c>
      <c r="AA36" s="24">
        <v>4.68099049758929E-4</v>
      </c>
      <c r="AB36" s="14" t="str">
        <f>VLOOKUP(flu_aw24[[#This Row],[trust_code]],trust_lookup[],3,0)</f>
        <v>Barts</v>
      </c>
      <c r="AD36" s="43">
        <v>45964</v>
      </c>
      <c r="AE36" s="2">
        <v>45</v>
      </c>
      <c r="AF36" s="2" t="s">
        <v>518</v>
      </c>
      <c r="AG36" s="2" t="s">
        <v>25</v>
      </c>
      <c r="AH36" s="2" t="s">
        <v>26</v>
      </c>
      <c r="AI36" s="2" t="s">
        <v>27</v>
      </c>
      <c r="AJ36" s="23">
        <v>166</v>
      </c>
      <c r="AK36" s="23">
        <v>1395</v>
      </c>
      <c r="AL36" s="23">
        <v>5870</v>
      </c>
      <c r="AM36" s="24">
        <v>0.23764906303236699</v>
      </c>
      <c r="AN36" s="44" t="str">
        <f>VLOOKUP(flu_aw25[[#This Row],[trust_code]],trust_lookup[],3,0)</f>
        <v>CNWL</v>
      </c>
      <c r="AP36" s="2" t="s">
        <v>182</v>
      </c>
      <c r="AQ36" s="2" t="s">
        <v>183</v>
      </c>
      <c r="AR36" s="2" t="s">
        <v>27</v>
      </c>
      <c r="AS36" s="2" t="s">
        <v>524</v>
      </c>
      <c r="AT36" s="2">
        <v>4</v>
      </c>
      <c r="AU36" s="44" t="str">
        <f>VLOOKUP(flu_location[[#This Row],[trust_code]],trust_lookup[],3,0)</f>
        <v>UCLH</v>
      </c>
      <c r="AW36" s="2" t="s">
        <v>48</v>
      </c>
      <c r="AX36" s="2" t="s">
        <v>49</v>
      </c>
      <c r="AY36" s="2" t="s">
        <v>651</v>
      </c>
      <c r="AZ36" s="2">
        <v>370</v>
      </c>
      <c r="BA36" s="2">
        <v>104</v>
      </c>
      <c r="BB36" s="44" t="str">
        <f>VLOOKUP(age_group[[#This Row],[trust_code]],trust_lookup[],3,0)</f>
        <v>CLCH</v>
      </c>
    </row>
    <row r="37" spans="1:54" x14ac:dyDescent="0.35">
      <c r="A37" s="2" t="s">
        <v>518</v>
      </c>
      <c r="B37" s="2" t="s">
        <v>161</v>
      </c>
      <c r="C37" s="2" t="s">
        <v>162</v>
      </c>
      <c r="D37" s="2" t="s">
        <v>27</v>
      </c>
      <c r="E37" s="2" t="s">
        <v>81</v>
      </c>
      <c r="F37" s="2">
        <v>147</v>
      </c>
      <c r="G37" s="2">
        <v>51</v>
      </c>
      <c r="H37" s="14" t="str">
        <f>VLOOKUP(flu_group[[#This Row],[trust_code]],trust_lookup[],3,0)</f>
        <v>RNOH</v>
      </c>
      <c r="I37" s="14" t="str">
        <f>VLOOKUP(flu_group[[#This Row],[trust_code]],trust_lookup[],4,0)</f>
        <v>Specialist</v>
      </c>
      <c r="K37" s="2" t="s">
        <v>518</v>
      </c>
      <c r="L37" s="2" t="s">
        <v>136</v>
      </c>
      <c r="M37" s="2" t="s">
        <v>137</v>
      </c>
      <c r="N37" s="2" t="s">
        <v>27</v>
      </c>
      <c r="O37" s="2" t="s">
        <v>112</v>
      </c>
      <c r="P37" s="2">
        <v>91</v>
      </c>
      <c r="R37" s="43">
        <v>45551</v>
      </c>
      <c r="S37" s="2">
        <v>38</v>
      </c>
      <c r="T37" s="2" t="s">
        <v>519</v>
      </c>
      <c r="U37" s="2" t="s">
        <v>37</v>
      </c>
      <c r="V37" s="2" t="s">
        <v>38</v>
      </c>
      <c r="W37" s="2" t="s">
        <v>190</v>
      </c>
      <c r="X37" s="23">
        <v>48</v>
      </c>
      <c r="Y37" s="23">
        <v>58</v>
      </c>
      <c r="Z37" s="23">
        <v>21363</v>
      </c>
      <c r="AA37" s="24">
        <v>2.7149744886017799E-3</v>
      </c>
      <c r="AB37" s="14" t="str">
        <f>VLOOKUP(flu_aw24[[#This Row],[trust_code]],trust_lookup[],3,0)</f>
        <v>Barts</v>
      </c>
      <c r="AD37" s="43">
        <v>45971</v>
      </c>
      <c r="AE37" s="2">
        <v>46</v>
      </c>
      <c r="AF37" s="2" t="s">
        <v>518</v>
      </c>
      <c r="AG37" s="2" t="s">
        <v>25</v>
      </c>
      <c r="AH37" s="2" t="s">
        <v>26</v>
      </c>
      <c r="AI37" s="2" t="s">
        <v>27</v>
      </c>
      <c r="AJ37" s="23">
        <v>115</v>
      </c>
      <c r="AK37" s="23">
        <v>1510</v>
      </c>
      <c r="AL37" s="23">
        <v>5870</v>
      </c>
      <c r="AM37" s="24">
        <v>0.25724020442930101</v>
      </c>
      <c r="AN37" s="44" t="str">
        <f>VLOOKUP(flu_aw25[[#This Row],[trust_code]],trust_lookup[],3,0)</f>
        <v>CNWL</v>
      </c>
      <c r="AP37" s="2" t="s">
        <v>185</v>
      </c>
      <c r="AQ37" s="2" t="s">
        <v>186</v>
      </c>
      <c r="AR37" s="2" t="s">
        <v>27</v>
      </c>
      <c r="AS37" s="2" t="s">
        <v>520</v>
      </c>
      <c r="AT37" s="2">
        <v>135</v>
      </c>
      <c r="AU37" s="44" t="str">
        <f>VLOOKUP(flu_location[[#This Row],[trust_code]],trust_lookup[],3,0)</f>
        <v>Whittington</v>
      </c>
      <c r="AW37" s="2" t="s">
        <v>48</v>
      </c>
      <c r="AX37" s="2" t="s">
        <v>49</v>
      </c>
      <c r="AY37" s="2" t="s">
        <v>652</v>
      </c>
      <c r="AZ37" s="2">
        <v>472</v>
      </c>
      <c r="BA37" s="2">
        <v>155</v>
      </c>
      <c r="BB37" s="44" t="str">
        <f>VLOOKUP(age_group[[#This Row],[trust_code]],trust_lookup[],3,0)</f>
        <v>CLCH</v>
      </c>
    </row>
    <row r="38" spans="1:54" x14ac:dyDescent="0.35">
      <c r="A38" s="2" t="s">
        <v>518</v>
      </c>
      <c r="B38" s="2" t="s">
        <v>147</v>
      </c>
      <c r="C38" s="2" t="s">
        <v>148</v>
      </c>
      <c r="D38" s="2" t="s">
        <v>27</v>
      </c>
      <c r="E38" s="2" t="s">
        <v>81</v>
      </c>
      <c r="F38" s="2">
        <v>1703</v>
      </c>
      <c r="G38" s="2">
        <v>432</v>
      </c>
      <c r="H38" s="14" t="str">
        <f>VLOOKUP(flu_group[[#This Row],[trust_code]],trust_lookup[],3,0)</f>
        <v>North London</v>
      </c>
      <c r="I38" s="14" t="str">
        <f>VLOOKUP(flu_group[[#This Row],[trust_code]],trust_lookup[],4,0)</f>
        <v>Mental Health</v>
      </c>
      <c r="K38" s="2" t="s">
        <v>518</v>
      </c>
      <c r="L38" s="2" t="s">
        <v>136</v>
      </c>
      <c r="M38" s="2" t="s">
        <v>137</v>
      </c>
      <c r="N38" s="2" t="s">
        <v>27</v>
      </c>
      <c r="O38" s="2" t="s">
        <v>36</v>
      </c>
      <c r="P38" s="2">
        <v>51</v>
      </c>
      <c r="R38" s="43">
        <v>45558</v>
      </c>
      <c r="S38" s="2">
        <v>39</v>
      </c>
      <c r="T38" s="2" t="s">
        <v>519</v>
      </c>
      <c r="U38" s="2" t="s">
        <v>37</v>
      </c>
      <c r="V38" s="2" t="s">
        <v>38</v>
      </c>
      <c r="W38" s="2" t="s">
        <v>190</v>
      </c>
      <c r="X38" s="23">
        <v>43</v>
      </c>
      <c r="Y38" s="23">
        <v>101</v>
      </c>
      <c r="Z38" s="23">
        <v>21363</v>
      </c>
      <c r="AA38" s="24">
        <v>4.7278004025651799E-3</v>
      </c>
      <c r="AB38" s="14" t="str">
        <f>VLOOKUP(flu_aw24[[#This Row],[trust_code]],trust_lookup[],3,0)</f>
        <v>Barts</v>
      </c>
      <c r="AD38" s="43">
        <v>45978</v>
      </c>
      <c r="AE38" s="2">
        <v>47</v>
      </c>
      <c r="AF38" s="2" t="s">
        <v>518</v>
      </c>
      <c r="AG38" s="2" t="s">
        <v>25</v>
      </c>
      <c r="AH38" s="2" t="s">
        <v>26</v>
      </c>
      <c r="AI38" s="2" t="s">
        <v>27</v>
      </c>
      <c r="AJ38" s="23">
        <v>123</v>
      </c>
      <c r="AK38" s="23">
        <v>1633</v>
      </c>
      <c r="AL38" s="23">
        <v>5870</v>
      </c>
      <c r="AM38" s="24">
        <v>0.27819420783645599</v>
      </c>
      <c r="AN38" s="44" t="str">
        <f>VLOOKUP(flu_aw25[[#This Row],[trust_code]],trust_lookup[],3,0)</f>
        <v>CNWL</v>
      </c>
      <c r="AP38" s="2" t="s">
        <v>185</v>
      </c>
      <c r="AQ38" s="2" t="s">
        <v>186</v>
      </c>
      <c r="AR38" s="2" t="s">
        <v>27</v>
      </c>
      <c r="AS38" s="2" t="s">
        <v>521</v>
      </c>
      <c r="AT38" s="2">
        <v>894</v>
      </c>
      <c r="AU38" s="44" t="str">
        <f>VLOOKUP(flu_location[[#This Row],[trust_code]],trust_lookup[],3,0)</f>
        <v>Whittington</v>
      </c>
      <c r="AW38" s="2" t="s">
        <v>48</v>
      </c>
      <c r="AX38" s="2" t="s">
        <v>49</v>
      </c>
      <c r="AY38" s="2" t="s">
        <v>653</v>
      </c>
      <c r="AZ38" s="2">
        <v>540</v>
      </c>
      <c r="BA38" s="2">
        <v>195</v>
      </c>
      <c r="BB38" s="44" t="str">
        <f>VLOOKUP(age_group[[#This Row],[trust_code]],trust_lookup[],3,0)</f>
        <v>CLCH</v>
      </c>
    </row>
    <row r="39" spans="1:54" x14ac:dyDescent="0.35">
      <c r="A39" s="2" t="s">
        <v>518</v>
      </c>
      <c r="B39" s="2" t="s">
        <v>25</v>
      </c>
      <c r="C39" s="2" t="s">
        <v>26</v>
      </c>
      <c r="D39" s="2" t="s">
        <v>192</v>
      </c>
      <c r="E39" s="2" t="s">
        <v>81</v>
      </c>
      <c r="F39" s="2">
        <v>1630</v>
      </c>
      <c r="G39" s="2">
        <v>431</v>
      </c>
      <c r="H39" s="14" t="str">
        <f>VLOOKUP(flu_group[[#This Row],[trust_code]],trust_lookup[],3,0)</f>
        <v>CNWL</v>
      </c>
      <c r="I39" s="14" t="str">
        <f>VLOOKUP(flu_group[[#This Row],[trust_code]],trust_lookup[],4,0)</f>
        <v>Mental Health &amp; Community</v>
      </c>
      <c r="K39" s="2" t="s">
        <v>518</v>
      </c>
      <c r="L39" s="2" t="s">
        <v>147</v>
      </c>
      <c r="M39" s="2" t="s">
        <v>148</v>
      </c>
      <c r="N39" s="2" t="s">
        <v>27</v>
      </c>
      <c r="O39" s="2" t="s">
        <v>68</v>
      </c>
      <c r="P39" s="2">
        <v>654</v>
      </c>
      <c r="R39" s="43">
        <v>45565</v>
      </c>
      <c r="S39" s="2">
        <v>40</v>
      </c>
      <c r="T39" s="2" t="s">
        <v>519</v>
      </c>
      <c r="U39" s="2" t="s">
        <v>37</v>
      </c>
      <c r="V39" s="2" t="s">
        <v>38</v>
      </c>
      <c r="W39" s="2" t="s">
        <v>190</v>
      </c>
      <c r="X39" s="23">
        <v>349</v>
      </c>
      <c r="Y39" s="23">
        <v>450</v>
      </c>
      <c r="Z39" s="23">
        <v>21363</v>
      </c>
      <c r="AA39" s="24">
        <v>2.1064457239151801E-2</v>
      </c>
      <c r="AB39" s="14" t="str">
        <f>VLOOKUP(flu_aw24[[#This Row],[trust_code]],trust_lookup[],3,0)</f>
        <v>Barts</v>
      </c>
      <c r="AD39" s="43">
        <v>45985</v>
      </c>
      <c r="AE39" s="2">
        <v>48</v>
      </c>
      <c r="AF39" s="2" t="s">
        <v>518</v>
      </c>
      <c r="AG39" s="2" t="s">
        <v>25</v>
      </c>
      <c r="AH39" s="2" t="s">
        <v>26</v>
      </c>
      <c r="AI39" s="2" t="s">
        <v>27</v>
      </c>
      <c r="AJ39" s="23">
        <v>94</v>
      </c>
      <c r="AK39" s="23">
        <v>1727</v>
      </c>
      <c r="AL39" s="23">
        <v>5870</v>
      </c>
      <c r="AM39" s="24">
        <v>0.29420783645655801</v>
      </c>
      <c r="AN39" s="44" t="str">
        <f>VLOOKUP(flu_aw25[[#This Row],[trust_code]],trust_lookup[],3,0)</f>
        <v>CNWL</v>
      </c>
      <c r="AP39" s="2" t="s">
        <v>185</v>
      </c>
      <c r="AQ39" s="2" t="s">
        <v>186</v>
      </c>
      <c r="AR39" s="2" t="s">
        <v>27</v>
      </c>
      <c r="AS39" s="2" t="s">
        <v>522</v>
      </c>
      <c r="AT39" s="2">
        <v>153</v>
      </c>
      <c r="AU39" s="44" t="str">
        <f>VLOOKUP(flu_location[[#This Row],[trust_code]],trust_lookup[],3,0)</f>
        <v>Whittington</v>
      </c>
      <c r="AW39" s="2" t="s">
        <v>48</v>
      </c>
      <c r="AX39" s="2" t="s">
        <v>49</v>
      </c>
      <c r="AY39" s="2" t="s">
        <v>654</v>
      </c>
      <c r="AZ39" s="2">
        <v>487</v>
      </c>
      <c r="BA39" s="2">
        <v>158</v>
      </c>
      <c r="BB39" s="44" t="str">
        <f>VLOOKUP(age_group[[#This Row],[trust_code]],trust_lookup[],3,0)</f>
        <v>CLCH</v>
      </c>
    </row>
    <row r="40" spans="1:54" x14ac:dyDescent="0.35">
      <c r="A40" s="2" t="s">
        <v>518</v>
      </c>
      <c r="B40" s="2" t="s">
        <v>48</v>
      </c>
      <c r="C40" s="2" t="s">
        <v>49</v>
      </c>
      <c r="D40" s="2" t="s">
        <v>192</v>
      </c>
      <c r="E40" s="2" t="s">
        <v>81</v>
      </c>
      <c r="F40" s="2">
        <v>874</v>
      </c>
      <c r="G40" s="2">
        <v>266</v>
      </c>
      <c r="H40" s="14" t="str">
        <f>VLOOKUP(flu_group[[#This Row],[trust_code]],trust_lookup[],3,0)</f>
        <v>CLCH</v>
      </c>
      <c r="I40" s="14" t="str">
        <f>VLOOKUP(flu_group[[#This Row],[trust_code]],trust_lookup[],4,0)</f>
        <v>Community</v>
      </c>
      <c r="K40" s="2" t="s">
        <v>518</v>
      </c>
      <c r="L40" s="2" t="s">
        <v>147</v>
      </c>
      <c r="M40" s="2" t="s">
        <v>148</v>
      </c>
      <c r="N40" s="2" t="s">
        <v>27</v>
      </c>
      <c r="O40" s="2" t="s">
        <v>135</v>
      </c>
      <c r="P40" s="2">
        <v>31</v>
      </c>
      <c r="R40" s="43">
        <v>45572</v>
      </c>
      <c r="S40" s="2">
        <v>41</v>
      </c>
      <c r="T40" s="2" t="s">
        <v>519</v>
      </c>
      <c r="U40" s="2" t="s">
        <v>37</v>
      </c>
      <c r="V40" s="2" t="s">
        <v>38</v>
      </c>
      <c r="W40" s="2" t="s">
        <v>190</v>
      </c>
      <c r="X40" s="23">
        <v>825</v>
      </c>
      <c r="Y40" s="23">
        <v>1275</v>
      </c>
      <c r="Z40" s="23">
        <v>21363</v>
      </c>
      <c r="AA40" s="24">
        <v>5.9682628844263397E-2</v>
      </c>
      <c r="AB40" s="14" t="str">
        <f>VLOOKUP(flu_aw24[[#This Row],[trust_code]],trust_lookup[],3,0)</f>
        <v>Barts</v>
      </c>
      <c r="AD40" s="43">
        <v>45992</v>
      </c>
      <c r="AE40" s="2">
        <v>49</v>
      </c>
      <c r="AF40" s="2" t="s">
        <v>518</v>
      </c>
      <c r="AG40" s="2" t="s">
        <v>25</v>
      </c>
      <c r="AH40" s="2" t="s">
        <v>26</v>
      </c>
      <c r="AI40" s="2" t="s">
        <v>27</v>
      </c>
      <c r="AJ40" s="23">
        <v>48</v>
      </c>
      <c r="AK40" s="23">
        <v>1775</v>
      </c>
      <c r="AL40" s="23">
        <v>5870</v>
      </c>
      <c r="AM40" s="24">
        <v>0.30238500851788702</v>
      </c>
      <c r="AN40" s="44" t="str">
        <f>VLOOKUP(flu_aw25[[#This Row],[trust_code]],trust_lookup[],3,0)</f>
        <v>CNWL</v>
      </c>
      <c r="AP40" s="2" t="s">
        <v>185</v>
      </c>
      <c r="AQ40" s="2" t="s">
        <v>186</v>
      </c>
      <c r="AR40" s="2" t="s">
        <v>27</v>
      </c>
      <c r="AS40" s="2" t="s">
        <v>524</v>
      </c>
      <c r="AT40" s="2">
        <v>3</v>
      </c>
      <c r="AU40" s="44" t="str">
        <f>VLOOKUP(flu_location[[#This Row],[trust_code]],trust_lookup[],3,0)</f>
        <v>Whittington</v>
      </c>
      <c r="AW40" s="2" t="s">
        <v>48</v>
      </c>
      <c r="AX40" s="2" t="s">
        <v>49</v>
      </c>
      <c r="AY40" s="2" t="s">
        <v>655</v>
      </c>
      <c r="AZ40" s="2">
        <v>491</v>
      </c>
      <c r="BA40" s="2">
        <v>167</v>
      </c>
      <c r="BB40" s="44" t="str">
        <f>VLOOKUP(age_group[[#This Row],[trust_code]],trust_lookup[],3,0)</f>
        <v>CLCH</v>
      </c>
    </row>
    <row r="41" spans="1:54" x14ac:dyDescent="0.35">
      <c r="A41" s="2" t="s">
        <v>518</v>
      </c>
      <c r="B41" s="2" t="s">
        <v>118</v>
      </c>
      <c r="C41" s="2" t="s">
        <v>119</v>
      </c>
      <c r="D41" s="2" t="s">
        <v>193</v>
      </c>
      <c r="E41" s="2" t="s">
        <v>81</v>
      </c>
      <c r="F41" s="2">
        <v>1468</v>
      </c>
      <c r="G41" s="2">
        <v>388</v>
      </c>
      <c r="H41" s="14" t="str">
        <f>VLOOKUP(flu_group[[#This Row],[trust_code]],trust_lookup[],3,0)</f>
        <v>L&amp;G</v>
      </c>
      <c r="I41" s="14" t="str">
        <f>VLOOKUP(flu_group[[#This Row],[trust_code]],trust_lookup[],4,0)</f>
        <v>Acute</v>
      </c>
      <c r="K41" s="2" t="s">
        <v>518</v>
      </c>
      <c r="L41" s="2" t="s">
        <v>147</v>
      </c>
      <c r="M41" s="2" t="s">
        <v>148</v>
      </c>
      <c r="N41" s="2" t="s">
        <v>27</v>
      </c>
      <c r="O41" s="2" t="s">
        <v>54</v>
      </c>
      <c r="P41" s="2">
        <v>187</v>
      </c>
      <c r="R41" s="43">
        <v>45579</v>
      </c>
      <c r="S41" s="2">
        <v>42</v>
      </c>
      <c r="T41" s="2" t="s">
        <v>519</v>
      </c>
      <c r="U41" s="2" t="s">
        <v>37</v>
      </c>
      <c r="V41" s="2" t="s">
        <v>38</v>
      </c>
      <c r="W41" s="2" t="s">
        <v>190</v>
      </c>
      <c r="X41" s="23">
        <v>791</v>
      </c>
      <c r="Y41" s="23">
        <v>2066</v>
      </c>
      <c r="Z41" s="23">
        <v>21363</v>
      </c>
      <c r="AA41" s="24">
        <v>9.6709263680194696E-2</v>
      </c>
      <c r="AB41" s="14" t="str">
        <f>VLOOKUP(flu_aw24[[#This Row],[trust_code]],trust_lookup[],3,0)</f>
        <v>Barts</v>
      </c>
      <c r="AD41" s="43">
        <v>45999</v>
      </c>
      <c r="AE41" s="2">
        <v>50</v>
      </c>
      <c r="AF41" s="2" t="s">
        <v>518</v>
      </c>
      <c r="AG41" s="2" t="s">
        <v>25</v>
      </c>
      <c r="AH41" s="2" t="s">
        <v>26</v>
      </c>
      <c r="AI41" s="2" t="s">
        <v>27</v>
      </c>
      <c r="AJ41" s="23">
        <v>93</v>
      </c>
      <c r="AK41" s="23">
        <v>1868</v>
      </c>
      <c r="AL41" s="23">
        <v>5870</v>
      </c>
      <c r="AM41" s="24">
        <v>0.318228279386712</v>
      </c>
      <c r="AN41" s="44" t="str">
        <f>VLOOKUP(flu_aw25[[#This Row],[trust_code]],trust_lookup[],3,0)</f>
        <v>CNWL</v>
      </c>
      <c r="AP41" s="2" t="s">
        <v>30</v>
      </c>
      <c r="AQ41" s="2" t="s">
        <v>31</v>
      </c>
      <c r="AR41" s="2" t="s">
        <v>190</v>
      </c>
      <c r="AS41" s="2" t="s">
        <v>520</v>
      </c>
      <c r="AT41" s="2">
        <v>299</v>
      </c>
      <c r="AU41" s="44" t="str">
        <f>VLOOKUP(flu_location[[#This Row],[trust_code]],trust_lookup[],3,0)</f>
        <v>BHR</v>
      </c>
      <c r="AW41" s="2" t="s">
        <v>48</v>
      </c>
      <c r="AX41" s="2" t="s">
        <v>49</v>
      </c>
      <c r="AY41" s="2" t="s">
        <v>656</v>
      </c>
      <c r="AZ41" s="2">
        <v>499</v>
      </c>
      <c r="BA41" s="2">
        <v>195</v>
      </c>
      <c r="BB41" s="44" t="str">
        <f>VLOOKUP(age_group[[#This Row],[trust_code]],trust_lookup[],3,0)</f>
        <v>CLCH</v>
      </c>
    </row>
    <row r="42" spans="1:54" x14ac:dyDescent="0.35">
      <c r="A42" s="2" t="s">
        <v>518</v>
      </c>
      <c r="B42" s="2" t="s">
        <v>136</v>
      </c>
      <c r="C42" s="2" t="s">
        <v>137</v>
      </c>
      <c r="D42" s="2" t="s">
        <v>27</v>
      </c>
      <c r="E42" s="2" t="s">
        <v>81</v>
      </c>
      <c r="F42" s="2">
        <v>334</v>
      </c>
      <c r="G42" s="2">
        <v>150</v>
      </c>
      <c r="H42" s="14" t="str">
        <f>VLOOKUP(flu_group[[#This Row],[trust_code]],trust_lookup[],3,0)</f>
        <v>Moorfields</v>
      </c>
      <c r="I42" s="14" t="str">
        <f>VLOOKUP(flu_group[[#This Row],[trust_code]],trust_lookup[],4,0)</f>
        <v>Specialist</v>
      </c>
      <c r="K42" s="2" t="s">
        <v>518</v>
      </c>
      <c r="L42" s="2" t="s">
        <v>147</v>
      </c>
      <c r="M42" s="2" t="s">
        <v>148</v>
      </c>
      <c r="N42" s="2" t="s">
        <v>27</v>
      </c>
      <c r="O42" s="2" t="s">
        <v>129</v>
      </c>
      <c r="P42" s="2">
        <v>13</v>
      </c>
      <c r="R42" s="43">
        <v>45586</v>
      </c>
      <c r="S42" s="2">
        <v>43</v>
      </c>
      <c r="T42" s="2" t="s">
        <v>519</v>
      </c>
      <c r="U42" s="2" t="s">
        <v>37</v>
      </c>
      <c r="V42" s="2" t="s">
        <v>38</v>
      </c>
      <c r="W42" s="2" t="s">
        <v>190</v>
      </c>
      <c r="X42" s="23">
        <v>522</v>
      </c>
      <c r="Y42" s="23">
        <v>2588</v>
      </c>
      <c r="Z42" s="23">
        <v>21363</v>
      </c>
      <c r="AA42" s="24">
        <v>0.12114403407761</v>
      </c>
      <c r="AB42" s="14" t="str">
        <f>VLOOKUP(flu_aw24[[#This Row],[trust_code]],trust_lookup[],3,0)</f>
        <v>Barts</v>
      </c>
      <c r="AD42" s="43">
        <v>46006</v>
      </c>
      <c r="AE42" s="2">
        <v>51</v>
      </c>
      <c r="AF42" s="2" t="s">
        <v>518</v>
      </c>
      <c r="AG42" s="2" t="s">
        <v>25</v>
      </c>
      <c r="AH42" s="2" t="s">
        <v>26</v>
      </c>
      <c r="AI42" s="2" t="s">
        <v>27</v>
      </c>
      <c r="AJ42" s="23">
        <v>75</v>
      </c>
      <c r="AK42" s="23">
        <v>1943</v>
      </c>
      <c r="AL42" s="23">
        <v>5870</v>
      </c>
      <c r="AM42" s="24">
        <v>0.33100511073253802</v>
      </c>
      <c r="AN42" s="44" t="str">
        <f>VLOOKUP(flu_aw25[[#This Row],[trust_code]],trust_lookup[],3,0)</f>
        <v>CNWL</v>
      </c>
      <c r="AP42" s="2" t="s">
        <v>30</v>
      </c>
      <c r="AQ42" s="2" t="s">
        <v>31</v>
      </c>
      <c r="AR42" s="2" t="s">
        <v>190</v>
      </c>
      <c r="AS42" s="2" t="s">
        <v>521</v>
      </c>
      <c r="AT42" s="2">
        <v>2238</v>
      </c>
      <c r="AU42" s="44" t="str">
        <f>VLOOKUP(flu_location[[#This Row],[trust_code]],trust_lookup[],3,0)</f>
        <v>BHR</v>
      </c>
      <c r="AW42" s="2" t="s">
        <v>48</v>
      </c>
      <c r="AX42" s="2" t="s">
        <v>49</v>
      </c>
      <c r="AY42" s="2" t="s">
        <v>657</v>
      </c>
      <c r="AZ42" s="2">
        <v>501</v>
      </c>
      <c r="BA42" s="2">
        <v>209</v>
      </c>
      <c r="BB42" s="44" t="str">
        <f>VLOOKUP(age_group[[#This Row],[trust_code]],trust_lookup[],3,0)</f>
        <v>CLCH</v>
      </c>
    </row>
    <row r="43" spans="1:54" x14ac:dyDescent="0.35">
      <c r="A43" s="2" t="s">
        <v>518</v>
      </c>
      <c r="B43" s="2" t="s">
        <v>185</v>
      </c>
      <c r="C43" s="2" t="s">
        <v>186</v>
      </c>
      <c r="D43" s="2" t="s">
        <v>27</v>
      </c>
      <c r="E43" s="2" t="s">
        <v>81</v>
      </c>
      <c r="F43" s="2">
        <v>580</v>
      </c>
      <c r="G43" s="2">
        <v>159</v>
      </c>
      <c r="H43" s="14" t="str">
        <f>VLOOKUP(flu_group[[#This Row],[trust_code]],trust_lookup[],3,0)</f>
        <v>Whittington</v>
      </c>
      <c r="I43" s="14" t="str">
        <f>VLOOKUP(flu_group[[#This Row],[trust_code]],trust_lookup[],4,0)</f>
        <v>Acute &amp; Community</v>
      </c>
      <c r="K43" s="2" t="s">
        <v>518</v>
      </c>
      <c r="L43" s="2" t="s">
        <v>147</v>
      </c>
      <c r="M43" s="2" t="s">
        <v>148</v>
      </c>
      <c r="N43" s="2" t="s">
        <v>27</v>
      </c>
      <c r="O43" s="2" t="s">
        <v>47</v>
      </c>
      <c r="P43" s="2">
        <v>14</v>
      </c>
      <c r="R43" s="43">
        <v>45593</v>
      </c>
      <c r="S43" s="2">
        <v>44</v>
      </c>
      <c r="T43" s="2" t="s">
        <v>519</v>
      </c>
      <c r="U43" s="2" t="s">
        <v>37</v>
      </c>
      <c r="V43" s="2" t="s">
        <v>38</v>
      </c>
      <c r="W43" s="2" t="s">
        <v>190</v>
      </c>
      <c r="X43" s="23">
        <v>638</v>
      </c>
      <c r="Y43" s="23">
        <v>3226</v>
      </c>
      <c r="Z43" s="23">
        <v>21363</v>
      </c>
      <c r="AA43" s="24">
        <v>0.15100875345223</v>
      </c>
      <c r="AB43" s="14" t="str">
        <f>VLOOKUP(flu_aw24[[#This Row],[trust_code]],trust_lookup[],3,0)</f>
        <v>Barts</v>
      </c>
      <c r="AD43" s="43">
        <v>46013</v>
      </c>
      <c r="AE43" s="2">
        <v>52</v>
      </c>
      <c r="AF43" s="2" t="s">
        <v>518</v>
      </c>
      <c r="AG43" s="2" t="s">
        <v>25</v>
      </c>
      <c r="AH43" s="2" t="s">
        <v>26</v>
      </c>
      <c r="AI43" s="2" t="s">
        <v>27</v>
      </c>
      <c r="AJ43" s="23">
        <v>8</v>
      </c>
      <c r="AK43" s="23">
        <v>1951</v>
      </c>
      <c r="AL43" s="23">
        <v>5870</v>
      </c>
      <c r="AM43" s="24">
        <v>0.33236797274275898</v>
      </c>
      <c r="AN43" s="44" t="str">
        <f>VLOOKUP(flu_aw25[[#This Row],[trust_code]],trust_lookup[],3,0)</f>
        <v>CNWL</v>
      </c>
      <c r="AP43" s="2" t="s">
        <v>30</v>
      </c>
      <c r="AQ43" s="2" t="s">
        <v>31</v>
      </c>
      <c r="AR43" s="2" t="s">
        <v>190</v>
      </c>
      <c r="AS43" s="2" t="s">
        <v>522</v>
      </c>
      <c r="AT43" s="2">
        <v>192</v>
      </c>
      <c r="AU43" s="44" t="str">
        <f>VLOOKUP(flu_location[[#This Row],[trust_code]],trust_lookup[],3,0)</f>
        <v>BHR</v>
      </c>
      <c r="AW43" s="2" t="s">
        <v>48</v>
      </c>
      <c r="AX43" s="2" t="s">
        <v>49</v>
      </c>
      <c r="AY43" s="2" t="s">
        <v>658</v>
      </c>
      <c r="AZ43" s="2">
        <v>410</v>
      </c>
      <c r="BA43" s="2">
        <v>186</v>
      </c>
      <c r="BB43" s="44" t="str">
        <f>VLOOKUP(age_group[[#This Row],[trust_code]],trust_lookup[],3,0)</f>
        <v>CLCH</v>
      </c>
    </row>
    <row r="44" spans="1:54" x14ac:dyDescent="0.35">
      <c r="A44" s="2" t="s">
        <v>518</v>
      </c>
      <c r="B44" s="2" t="s">
        <v>170</v>
      </c>
      <c r="C44" s="2" t="s">
        <v>171</v>
      </c>
      <c r="D44" s="2" t="s">
        <v>194</v>
      </c>
      <c r="E44" s="2" t="s">
        <v>81</v>
      </c>
      <c r="F44" s="2">
        <v>888</v>
      </c>
      <c r="G44" s="2">
        <v>210</v>
      </c>
      <c r="H44" s="14" t="str">
        <f>VLOOKUP(flu_group[[#This Row],[trust_code]],trust_lookup[],3,0)</f>
        <v>St George's</v>
      </c>
      <c r="I44" s="14" t="str">
        <f>VLOOKUP(flu_group[[#This Row],[trust_code]],trust_lookup[],4,0)</f>
        <v>Acute</v>
      </c>
      <c r="K44" s="2" t="s">
        <v>518</v>
      </c>
      <c r="L44" s="2" t="s">
        <v>147</v>
      </c>
      <c r="M44" s="2" t="s">
        <v>148</v>
      </c>
      <c r="N44" s="2" t="s">
        <v>27</v>
      </c>
      <c r="O44" s="2" t="s">
        <v>94</v>
      </c>
      <c r="P44" s="2">
        <v>21</v>
      </c>
      <c r="R44" s="43">
        <v>45600</v>
      </c>
      <c r="S44" s="2">
        <v>45</v>
      </c>
      <c r="T44" s="2" t="s">
        <v>519</v>
      </c>
      <c r="U44" s="2" t="s">
        <v>37</v>
      </c>
      <c r="V44" s="2" t="s">
        <v>38</v>
      </c>
      <c r="W44" s="2" t="s">
        <v>190</v>
      </c>
      <c r="X44" s="23">
        <v>570</v>
      </c>
      <c r="Y44" s="23">
        <v>3796</v>
      </c>
      <c r="Z44" s="23">
        <v>21363</v>
      </c>
      <c r="AA44" s="24">
        <v>0.17769039928848901</v>
      </c>
      <c r="AB44" s="14" t="str">
        <f>VLOOKUP(flu_aw24[[#This Row],[trust_code]],trust_lookup[],3,0)</f>
        <v>Barts</v>
      </c>
      <c r="AD44" s="43">
        <v>46020</v>
      </c>
      <c r="AE44" s="2">
        <v>1</v>
      </c>
      <c r="AF44" s="2" t="s">
        <v>518</v>
      </c>
      <c r="AG44" s="2" t="s">
        <v>25</v>
      </c>
      <c r="AH44" s="2" t="s">
        <v>26</v>
      </c>
      <c r="AI44" s="2" t="s">
        <v>27</v>
      </c>
      <c r="AJ44" s="23">
        <v>10</v>
      </c>
      <c r="AK44" s="23">
        <v>1961</v>
      </c>
      <c r="AL44" s="23">
        <v>5870</v>
      </c>
      <c r="AM44" s="24">
        <v>0.33407155025553598</v>
      </c>
      <c r="AN44" s="44" t="str">
        <f>VLOOKUP(flu_aw25[[#This Row],[trust_code]],trust_lookup[],3,0)</f>
        <v>CNWL</v>
      </c>
      <c r="AP44" s="2" t="s">
        <v>30</v>
      </c>
      <c r="AQ44" s="2" t="s">
        <v>31</v>
      </c>
      <c r="AR44" s="2" t="s">
        <v>190</v>
      </c>
      <c r="AS44" s="2" t="s">
        <v>524</v>
      </c>
      <c r="AT44" s="2">
        <v>9</v>
      </c>
      <c r="AU44" s="44" t="str">
        <f>VLOOKUP(flu_location[[#This Row],[trust_code]],trust_lookup[],3,0)</f>
        <v>BHR</v>
      </c>
      <c r="AW44" s="2" t="s">
        <v>48</v>
      </c>
      <c r="AX44" s="2" t="s">
        <v>49</v>
      </c>
      <c r="AY44" s="2" t="s">
        <v>659</v>
      </c>
      <c r="AZ44" s="2">
        <v>235</v>
      </c>
      <c r="BA44" s="2">
        <v>121</v>
      </c>
      <c r="BB44" s="44" t="str">
        <f>VLOOKUP(age_group[[#This Row],[trust_code]],trust_lookup[],3,0)</f>
        <v>CLCH</v>
      </c>
    </row>
    <row r="45" spans="1:54" x14ac:dyDescent="0.35">
      <c r="A45" s="2" t="s">
        <v>518</v>
      </c>
      <c r="B45" s="2" t="s">
        <v>95</v>
      </c>
      <c r="C45" s="2" t="s">
        <v>96</v>
      </c>
      <c r="D45" s="2" t="s">
        <v>190</v>
      </c>
      <c r="E45" s="2" t="s">
        <v>81</v>
      </c>
      <c r="F45" s="2">
        <v>614</v>
      </c>
      <c r="G45" s="2">
        <v>185</v>
      </c>
      <c r="H45" s="14" t="str">
        <f>VLOOKUP(flu_group[[#This Row],[trust_code]],trust_lookup[],3,0)</f>
        <v>Homerton</v>
      </c>
      <c r="I45" s="14" t="str">
        <f>VLOOKUP(flu_group[[#This Row],[trust_code]],trust_lookup[],4,0)</f>
        <v>Acute</v>
      </c>
      <c r="K45" s="2" t="s">
        <v>518</v>
      </c>
      <c r="L45" s="2" t="s">
        <v>147</v>
      </c>
      <c r="M45" s="2" t="s">
        <v>148</v>
      </c>
      <c r="N45" s="2" t="s">
        <v>27</v>
      </c>
      <c r="O45" s="2" t="s">
        <v>29</v>
      </c>
      <c r="P45" s="2">
        <v>30</v>
      </c>
      <c r="R45" s="43">
        <v>45607</v>
      </c>
      <c r="S45" s="2">
        <v>46</v>
      </c>
      <c r="T45" s="2" t="s">
        <v>519</v>
      </c>
      <c r="U45" s="2" t="s">
        <v>37</v>
      </c>
      <c r="V45" s="2" t="s">
        <v>38</v>
      </c>
      <c r="W45" s="2" t="s">
        <v>190</v>
      </c>
      <c r="X45" s="23">
        <v>440</v>
      </c>
      <c r="Y45" s="23">
        <v>4236</v>
      </c>
      <c r="Z45" s="23">
        <v>21363</v>
      </c>
      <c r="AA45" s="24">
        <v>0.19828675747788199</v>
      </c>
      <c r="AB45" s="14" t="str">
        <f>VLOOKUP(flu_aw24[[#This Row],[trust_code]],trust_lookup[],3,0)</f>
        <v>Barts</v>
      </c>
      <c r="AD45" s="43">
        <v>46027</v>
      </c>
      <c r="AE45" s="2">
        <v>2</v>
      </c>
      <c r="AF45" s="2" t="s">
        <v>518</v>
      </c>
      <c r="AG45" s="2" t="s">
        <v>25</v>
      </c>
      <c r="AH45" s="2" t="s">
        <v>26</v>
      </c>
      <c r="AI45" s="2" t="s">
        <v>27</v>
      </c>
      <c r="AJ45" s="23">
        <v>20</v>
      </c>
      <c r="AK45" s="23">
        <v>1981</v>
      </c>
      <c r="AL45" s="23">
        <v>5870</v>
      </c>
      <c r="AM45" s="24">
        <v>0.33747870528108997</v>
      </c>
      <c r="AN45" s="44" t="str">
        <f>VLOOKUP(flu_aw25[[#This Row],[trust_code]],trust_lookup[],3,0)</f>
        <v>CNWL</v>
      </c>
      <c r="AP45" s="2" t="s">
        <v>37</v>
      </c>
      <c r="AQ45" s="2" t="s">
        <v>38</v>
      </c>
      <c r="AR45" s="2" t="s">
        <v>190</v>
      </c>
      <c r="AS45" s="2" t="s">
        <v>520</v>
      </c>
      <c r="AT45" s="2">
        <v>1169</v>
      </c>
      <c r="AU45" s="44" t="str">
        <f>VLOOKUP(flu_location[[#This Row],[trust_code]],trust_lookup[],3,0)</f>
        <v>Barts</v>
      </c>
      <c r="AW45" s="2" t="s">
        <v>55</v>
      </c>
      <c r="AX45" s="2" t="s">
        <v>56</v>
      </c>
      <c r="AY45" s="2" t="s">
        <v>650</v>
      </c>
      <c r="AZ45" s="2">
        <v>200</v>
      </c>
      <c r="BA45" s="2">
        <v>68</v>
      </c>
      <c r="BB45" s="44" t="str">
        <f>VLOOKUP(age_group[[#This Row],[trust_code]],trust_lookup[],3,0)</f>
        <v>ChelWest</v>
      </c>
    </row>
    <row r="46" spans="1:54" x14ac:dyDescent="0.35">
      <c r="A46" s="2" t="s">
        <v>518</v>
      </c>
      <c r="B46" s="2" t="s">
        <v>30</v>
      </c>
      <c r="C46" s="2" t="s">
        <v>31</v>
      </c>
      <c r="D46" s="2" t="s">
        <v>190</v>
      </c>
      <c r="E46" s="2" t="s">
        <v>81</v>
      </c>
      <c r="F46" s="2">
        <v>1712</v>
      </c>
      <c r="G46" s="2">
        <v>587</v>
      </c>
      <c r="H46" s="14" t="str">
        <f>VLOOKUP(flu_group[[#This Row],[trust_code]],trust_lookup[],3,0)</f>
        <v>BHR</v>
      </c>
      <c r="I46" s="14" t="str">
        <f>VLOOKUP(flu_group[[#This Row],[trust_code]],trust_lookup[],4,0)</f>
        <v>Acute</v>
      </c>
      <c r="K46" s="2" t="s">
        <v>518</v>
      </c>
      <c r="L46" s="2" t="s">
        <v>147</v>
      </c>
      <c r="M46" s="2" t="s">
        <v>148</v>
      </c>
      <c r="N46" s="2" t="s">
        <v>27</v>
      </c>
      <c r="O46" s="2" t="s">
        <v>123</v>
      </c>
      <c r="P46" s="2">
        <v>71</v>
      </c>
      <c r="R46" s="43">
        <v>45614</v>
      </c>
      <c r="S46" s="2">
        <v>47</v>
      </c>
      <c r="T46" s="2" t="s">
        <v>519</v>
      </c>
      <c r="U46" s="2" t="s">
        <v>37</v>
      </c>
      <c r="V46" s="2" t="s">
        <v>38</v>
      </c>
      <c r="W46" s="2" t="s">
        <v>190</v>
      </c>
      <c r="X46" s="23">
        <v>431</v>
      </c>
      <c r="Y46" s="23">
        <v>4667</v>
      </c>
      <c r="Z46" s="23">
        <v>21363</v>
      </c>
      <c r="AA46" s="24">
        <v>0.21846182652249199</v>
      </c>
      <c r="AB46" s="14" t="str">
        <f>VLOOKUP(flu_aw24[[#This Row],[trust_code]],trust_lookup[],3,0)</f>
        <v>Barts</v>
      </c>
      <c r="AD46" s="43">
        <v>46034</v>
      </c>
      <c r="AE46" s="2">
        <v>3</v>
      </c>
      <c r="AF46" s="2" t="s">
        <v>518</v>
      </c>
      <c r="AG46" s="2" t="s">
        <v>25</v>
      </c>
      <c r="AH46" s="2" t="s">
        <v>26</v>
      </c>
      <c r="AI46" s="2" t="s">
        <v>27</v>
      </c>
      <c r="AJ46" s="23">
        <v>15</v>
      </c>
      <c r="AK46" s="23">
        <v>1996</v>
      </c>
      <c r="AL46" s="23">
        <v>5870</v>
      </c>
      <c r="AM46" s="24">
        <v>0.340034071550255</v>
      </c>
      <c r="AN46" s="44" t="str">
        <f>VLOOKUP(flu_aw25[[#This Row],[trust_code]],trust_lookup[],3,0)</f>
        <v>CNWL</v>
      </c>
      <c r="AP46" s="2" t="s">
        <v>37</v>
      </c>
      <c r="AQ46" s="2" t="s">
        <v>38</v>
      </c>
      <c r="AR46" s="2" t="s">
        <v>190</v>
      </c>
      <c r="AS46" s="2" t="s">
        <v>521</v>
      </c>
      <c r="AT46" s="2">
        <v>5250</v>
      </c>
      <c r="AU46" s="44" t="str">
        <f>VLOOKUP(flu_location[[#This Row],[trust_code]],trust_lookup[],3,0)</f>
        <v>Barts</v>
      </c>
      <c r="AW46" s="2" t="s">
        <v>55</v>
      </c>
      <c r="AX46" s="2" t="s">
        <v>56</v>
      </c>
      <c r="AY46" s="2" t="s">
        <v>651</v>
      </c>
      <c r="AZ46" s="2">
        <v>681</v>
      </c>
      <c r="BA46" s="2">
        <v>289</v>
      </c>
      <c r="BB46" s="44" t="str">
        <f>VLOOKUP(age_group[[#This Row],[trust_code]],trust_lookup[],3,0)</f>
        <v>ChelWest</v>
      </c>
    </row>
    <row r="47" spans="1:54" x14ac:dyDescent="0.35">
      <c r="A47" s="2" t="s">
        <v>518</v>
      </c>
      <c r="B47" s="2" t="s">
        <v>176</v>
      </c>
      <c r="C47" s="2" t="s">
        <v>177</v>
      </c>
      <c r="D47" s="2" t="s">
        <v>192</v>
      </c>
      <c r="E47" s="2" t="s">
        <v>81</v>
      </c>
      <c r="F47" s="2">
        <v>546</v>
      </c>
      <c r="G47" s="2">
        <v>169</v>
      </c>
      <c r="H47" s="14" t="str">
        <f>VLOOKUP(flu_group[[#This Row],[trust_code]],trust_lookup[],3,0)</f>
        <v>Hillingdon</v>
      </c>
      <c r="I47" s="14" t="str">
        <f>VLOOKUP(flu_group[[#This Row],[trust_code]],trust_lookup[],4,0)</f>
        <v>Acute</v>
      </c>
      <c r="K47" s="2" t="s">
        <v>518</v>
      </c>
      <c r="L47" s="2" t="s">
        <v>147</v>
      </c>
      <c r="M47" s="2" t="s">
        <v>148</v>
      </c>
      <c r="N47" s="2" t="s">
        <v>27</v>
      </c>
      <c r="O47" s="2" t="s">
        <v>82</v>
      </c>
      <c r="P47" s="2">
        <v>14</v>
      </c>
      <c r="R47" s="43">
        <v>45621</v>
      </c>
      <c r="S47" s="2">
        <v>48</v>
      </c>
      <c r="T47" s="2" t="s">
        <v>519</v>
      </c>
      <c r="U47" s="2" t="s">
        <v>37</v>
      </c>
      <c r="V47" s="2" t="s">
        <v>38</v>
      </c>
      <c r="W47" s="2" t="s">
        <v>190</v>
      </c>
      <c r="X47" s="23">
        <v>270</v>
      </c>
      <c r="Y47" s="23">
        <v>4937</v>
      </c>
      <c r="Z47" s="23">
        <v>21363</v>
      </c>
      <c r="AA47" s="24">
        <v>0.23110050086598299</v>
      </c>
      <c r="AB47" s="14" t="str">
        <f>VLOOKUP(flu_aw24[[#This Row],[trust_code]],trust_lookup[],3,0)</f>
        <v>Barts</v>
      </c>
      <c r="AD47" s="43">
        <v>46041</v>
      </c>
      <c r="AE47" s="2">
        <v>4</v>
      </c>
      <c r="AF47" s="2" t="s">
        <v>518</v>
      </c>
      <c r="AG47" s="2" t="s">
        <v>25</v>
      </c>
      <c r="AH47" s="2" t="s">
        <v>26</v>
      </c>
      <c r="AI47" s="2" t="s">
        <v>27</v>
      </c>
      <c r="AJ47" s="23">
        <v>10</v>
      </c>
      <c r="AK47" s="23">
        <v>2006</v>
      </c>
      <c r="AL47" s="23">
        <v>5870</v>
      </c>
      <c r="AM47" s="24">
        <v>0.341737649063032</v>
      </c>
      <c r="AN47" s="44" t="str">
        <f>VLOOKUP(flu_aw25[[#This Row],[trust_code]],trust_lookup[],3,0)</f>
        <v>CNWL</v>
      </c>
      <c r="AP47" s="2" t="s">
        <v>37</v>
      </c>
      <c r="AQ47" s="2" t="s">
        <v>38</v>
      </c>
      <c r="AR47" s="2" t="s">
        <v>190</v>
      </c>
      <c r="AS47" s="2" t="s">
        <v>522</v>
      </c>
      <c r="AT47" s="2">
        <v>947</v>
      </c>
      <c r="AU47" s="44" t="str">
        <f>VLOOKUP(flu_location[[#This Row],[trust_code]],trust_lookup[],3,0)</f>
        <v>Barts</v>
      </c>
      <c r="AW47" s="2" t="s">
        <v>55</v>
      </c>
      <c r="AX47" s="2" t="s">
        <v>56</v>
      </c>
      <c r="AY47" s="2" t="s">
        <v>652</v>
      </c>
      <c r="AZ47" s="2">
        <v>769</v>
      </c>
      <c r="BA47" s="2">
        <v>298</v>
      </c>
      <c r="BB47" s="44" t="str">
        <f>VLOOKUP(age_group[[#This Row],[trust_code]],trust_lookup[],3,0)</f>
        <v>ChelWest</v>
      </c>
    </row>
    <row r="48" spans="1:54" x14ac:dyDescent="0.35">
      <c r="A48" s="2" t="s">
        <v>518</v>
      </c>
      <c r="B48" s="2" t="s">
        <v>152</v>
      </c>
      <c r="C48" s="2" t="s">
        <v>153</v>
      </c>
      <c r="D48" s="2" t="s">
        <v>193</v>
      </c>
      <c r="E48" s="2" t="s">
        <v>81</v>
      </c>
      <c r="F48" s="2">
        <v>896</v>
      </c>
      <c r="G48" s="2">
        <v>308</v>
      </c>
      <c r="H48" s="14" t="str">
        <f>VLOOKUP(flu_group[[#This Row],[trust_code]],trust_lookup[],3,0)</f>
        <v>Oxleas</v>
      </c>
      <c r="I48" s="14" t="str">
        <f>VLOOKUP(flu_group[[#This Row],[trust_code]],trust_lookup[],4,0)</f>
        <v>Mental Health &amp; Community</v>
      </c>
      <c r="K48" s="2" t="s">
        <v>518</v>
      </c>
      <c r="L48" s="2" t="s">
        <v>147</v>
      </c>
      <c r="M48" s="2" t="s">
        <v>148</v>
      </c>
      <c r="N48" s="2" t="s">
        <v>27</v>
      </c>
      <c r="O48" s="2" t="s">
        <v>88</v>
      </c>
      <c r="P48" s="2">
        <v>10</v>
      </c>
      <c r="R48" s="43">
        <v>45628</v>
      </c>
      <c r="S48" s="2">
        <v>49</v>
      </c>
      <c r="T48" s="2" t="s">
        <v>519</v>
      </c>
      <c r="U48" s="2" t="s">
        <v>37</v>
      </c>
      <c r="V48" s="2" t="s">
        <v>38</v>
      </c>
      <c r="W48" s="2" t="s">
        <v>190</v>
      </c>
      <c r="X48" s="23">
        <v>169</v>
      </c>
      <c r="Y48" s="23">
        <v>5106</v>
      </c>
      <c r="Z48" s="23">
        <v>21363</v>
      </c>
      <c r="AA48" s="24">
        <v>0.23901137480690901</v>
      </c>
      <c r="AB48" s="14" t="str">
        <f>VLOOKUP(flu_aw24[[#This Row],[trust_code]],trust_lookup[],3,0)</f>
        <v>Barts</v>
      </c>
      <c r="AD48" s="43">
        <v>46048</v>
      </c>
      <c r="AE48" s="2">
        <v>5</v>
      </c>
      <c r="AF48" s="2" t="s">
        <v>518</v>
      </c>
      <c r="AG48" s="2" t="s">
        <v>25</v>
      </c>
      <c r="AH48" s="2" t="s">
        <v>26</v>
      </c>
      <c r="AI48" s="2" t="s">
        <v>27</v>
      </c>
      <c r="AJ48" s="23">
        <v>2</v>
      </c>
      <c r="AK48" s="23">
        <v>2008</v>
      </c>
      <c r="AL48" s="23">
        <v>5870</v>
      </c>
      <c r="AM48" s="24">
        <v>0.34207836456558699</v>
      </c>
      <c r="AN48" s="44" t="str">
        <f>VLOOKUP(flu_aw25[[#This Row],[trust_code]],trust_lookup[],3,0)</f>
        <v>CNWL</v>
      </c>
      <c r="AP48" s="2" t="s">
        <v>37</v>
      </c>
      <c r="AQ48" s="2" t="s">
        <v>38</v>
      </c>
      <c r="AR48" s="2" t="s">
        <v>190</v>
      </c>
      <c r="AS48" s="2" t="s">
        <v>523</v>
      </c>
      <c r="AT48" s="2">
        <v>1</v>
      </c>
      <c r="AU48" s="44" t="str">
        <f>VLOOKUP(flu_location[[#This Row],[trust_code]],trust_lookup[],3,0)</f>
        <v>Barts</v>
      </c>
      <c r="AW48" s="2" t="s">
        <v>55</v>
      </c>
      <c r="AX48" s="2" t="s">
        <v>56</v>
      </c>
      <c r="AY48" s="2" t="s">
        <v>653</v>
      </c>
      <c r="AZ48" s="2">
        <v>788</v>
      </c>
      <c r="BA48" s="2">
        <v>328</v>
      </c>
      <c r="BB48" s="44" t="str">
        <f>VLOOKUP(age_group[[#This Row],[trust_code]],trust_lookup[],3,0)</f>
        <v>ChelWest</v>
      </c>
    </row>
    <row r="49" spans="1:54" x14ac:dyDescent="0.35">
      <c r="A49" s="2" t="s">
        <v>518</v>
      </c>
      <c r="B49" s="2" t="s">
        <v>157</v>
      </c>
      <c r="C49" s="2" t="s">
        <v>158</v>
      </c>
      <c r="D49" s="2" t="s">
        <v>27</v>
      </c>
      <c r="E49" s="2" t="s">
        <v>81</v>
      </c>
      <c r="F49" s="2">
        <v>3057</v>
      </c>
      <c r="G49" s="2">
        <v>895</v>
      </c>
      <c r="H49" s="14" t="str">
        <f>VLOOKUP(flu_group[[#This Row],[trust_code]],trust_lookup[],3,0)</f>
        <v>Royal Free</v>
      </c>
      <c r="I49" s="14" t="str">
        <f>VLOOKUP(flu_group[[#This Row],[trust_code]],trust_lookup[],4,0)</f>
        <v>Acute</v>
      </c>
      <c r="K49" s="2" t="s">
        <v>518</v>
      </c>
      <c r="L49" s="2" t="s">
        <v>147</v>
      </c>
      <c r="M49" s="2" t="s">
        <v>148</v>
      </c>
      <c r="N49" s="2" t="s">
        <v>27</v>
      </c>
      <c r="O49" s="2" t="s">
        <v>141</v>
      </c>
      <c r="P49" s="2">
        <v>69</v>
      </c>
      <c r="R49" s="43">
        <v>45635</v>
      </c>
      <c r="S49" s="2">
        <v>50</v>
      </c>
      <c r="T49" s="2" t="s">
        <v>519</v>
      </c>
      <c r="U49" s="2" t="s">
        <v>37</v>
      </c>
      <c r="V49" s="2" t="s">
        <v>38</v>
      </c>
      <c r="W49" s="2" t="s">
        <v>190</v>
      </c>
      <c r="X49" s="23">
        <v>159</v>
      </c>
      <c r="Y49" s="23">
        <v>5265</v>
      </c>
      <c r="Z49" s="23">
        <v>21363</v>
      </c>
      <c r="AA49" s="24">
        <v>0.246454149698076</v>
      </c>
      <c r="AB49" s="14" t="str">
        <f>VLOOKUP(flu_aw24[[#This Row],[trust_code]],trust_lookup[],3,0)</f>
        <v>Barts</v>
      </c>
      <c r="AD49" s="43">
        <v>46055</v>
      </c>
      <c r="AE49" s="2">
        <v>6</v>
      </c>
      <c r="AF49" s="2" t="s">
        <v>518</v>
      </c>
      <c r="AG49" s="2" t="s">
        <v>25</v>
      </c>
      <c r="AH49" s="2" t="s">
        <v>26</v>
      </c>
      <c r="AI49" s="2" t="s">
        <v>27</v>
      </c>
      <c r="AJ49" s="23">
        <v>4</v>
      </c>
      <c r="AK49" s="23">
        <v>2012</v>
      </c>
      <c r="AL49" s="23">
        <v>5870</v>
      </c>
      <c r="AM49" s="24">
        <v>0.34275979557069802</v>
      </c>
      <c r="AN49" s="44" t="str">
        <f>VLOOKUP(flu_aw25[[#This Row],[trust_code]],trust_lookup[],3,0)</f>
        <v>CNWL</v>
      </c>
      <c r="AP49" s="2" t="s">
        <v>37</v>
      </c>
      <c r="AQ49" s="2" t="s">
        <v>38</v>
      </c>
      <c r="AR49" s="2" t="s">
        <v>190</v>
      </c>
      <c r="AS49" s="2" t="s">
        <v>524</v>
      </c>
      <c r="AT49" s="2">
        <v>19</v>
      </c>
      <c r="AU49" s="44" t="str">
        <f>VLOOKUP(flu_location[[#This Row],[trust_code]],trust_lookup[],3,0)</f>
        <v>Barts</v>
      </c>
      <c r="AW49" s="2" t="s">
        <v>55</v>
      </c>
      <c r="AX49" s="2" t="s">
        <v>56</v>
      </c>
      <c r="AY49" s="2" t="s">
        <v>654</v>
      </c>
      <c r="AZ49" s="2">
        <v>547</v>
      </c>
      <c r="BA49" s="2">
        <v>243</v>
      </c>
      <c r="BB49" s="44" t="str">
        <f>VLOOKUP(age_group[[#This Row],[trust_code]],trust_lookup[],3,0)</f>
        <v>ChelWest</v>
      </c>
    </row>
    <row r="50" spans="1:54" x14ac:dyDescent="0.35">
      <c r="A50" s="2" t="s">
        <v>518</v>
      </c>
      <c r="B50" s="2" t="s">
        <v>113</v>
      </c>
      <c r="C50" s="2" t="s">
        <v>114</v>
      </c>
      <c r="D50" s="2" t="s">
        <v>194</v>
      </c>
      <c r="E50" s="2" t="s">
        <v>81</v>
      </c>
      <c r="F50" s="2">
        <v>722</v>
      </c>
      <c r="G50" s="2">
        <v>237</v>
      </c>
      <c r="H50" s="14" t="str">
        <f>VLOOKUP(flu_group[[#This Row],[trust_code]],trust_lookup[],3,0)</f>
        <v>K&amp;R FT</v>
      </c>
      <c r="I50" s="14" t="str">
        <f>VLOOKUP(flu_group[[#This Row],[trust_code]],trust_lookup[],4,0)</f>
        <v>Acute &amp; Community</v>
      </c>
      <c r="K50" s="2" t="s">
        <v>518</v>
      </c>
      <c r="L50" s="2" t="s">
        <v>147</v>
      </c>
      <c r="M50" s="2" t="s">
        <v>148</v>
      </c>
      <c r="N50" s="2" t="s">
        <v>27</v>
      </c>
      <c r="O50" s="2" t="s">
        <v>61</v>
      </c>
      <c r="P50" s="2">
        <v>19</v>
      </c>
      <c r="R50" s="43">
        <v>45642</v>
      </c>
      <c r="S50" s="2">
        <v>51</v>
      </c>
      <c r="T50" s="2" t="s">
        <v>519</v>
      </c>
      <c r="U50" s="2" t="s">
        <v>37</v>
      </c>
      <c r="V50" s="2" t="s">
        <v>38</v>
      </c>
      <c r="W50" s="2" t="s">
        <v>190</v>
      </c>
      <c r="X50" s="23">
        <v>153</v>
      </c>
      <c r="Y50" s="23">
        <v>5418</v>
      </c>
      <c r="Z50" s="23">
        <v>21363</v>
      </c>
      <c r="AA50" s="24">
        <v>0.25361606515938701</v>
      </c>
      <c r="AB50" s="14" t="str">
        <f>VLOOKUP(flu_aw24[[#This Row],[trust_code]],trust_lookup[],3,0)</f>
        <v>Barts</v>
      </c>
      <c r="AD50" s="43">
        <v>46062</v>
      </c>
      <c r="AE50" s="2">
        <v>7</v>
      </c>
      <c r="AF50" s="2" t="s">
        <v>518</v>
      </c>
      <c r="AG50" s="2" t="s">
        <v>25</v>
      </c>
      <c r="AH50" s="2" t="s">
        <v>26</v>
      </c>
      <c r="AI50" s="2" t="s">
        <v>27</v>
      </c>
      <c r="AJ50" s="23">
        <v>1</v>
      </c>
      <c r="AK50" s="23">
        <v>2013</v>
      </c>
      <c r="AL50" s="23">
        <v>5870</v>
      </c>
      <c r="AM50" s="24">
        <v>0.34293015332197602</v>
      </c>
      <c r="AN50" s="44" t="str">
        <f>VLOOKUP(flu_aw25[[#This Row],[trust_code]],trust_lookup[],3,0)</f>
        <v>CNWL</v>
      </c>
      <c r="AP50" s="2" t="s">
        <v>69</v>
      </c>
      <c r="AQ50" s="2" t="s">
        <v>70</v>
      </c>
      <c r="AR50" s="2" t="s">
        <v>190</v>
      </c>
      <c r="AS50" s="2" t="s">
        <v>520</v>
      </c>
      <c r="AT50" s="2">
        <v>443</v>
      </c>
      <c r="AU50" s="44" t="str">
        <f>VLOOKUP(flu_location[[#This Row],[trust_code]],trust_lookup[],3,0)</f>
        <v>ELFT</v>
      </c>
      <c r="AW50" s="2" t="s">
        <v>55</v>
      </c>
      <c r="AX50" s="2" t="s">
        <v>56</v>
      </c>
      <c r="AY50" s="2" t="s">
        <v>655</v>
      </c>
      <c r="AZ50" s="2">
        <v>500</v>
      </c>
      <c r="BA50" s="2">
        <v>214</v>
      </c>
      <c r="BB50" s="44" t="str">
        <f>VLOOKUP(age_group[[#This Row],[trust_code]],trust_lookup[],3,0)</f>
        <v>ChelWest</v>
      </c>
    </row>
    <row r="51" spans="1:54" x14ac:dyDescent="0.35">
      <c r="A51" s="2" t="s">
        <v>518</v>
      </c>
      <c r="B51" s="2" t="s">
        <v>83</v>
      </c>
      <c r="C51" s="2" t="s">
        <v>84</v>
      </c>
      <c r="D51" s="2" t="s">
        <v>27</v>
      </c>
      <c r="E51" s="2" t="s">
        <v>81</v>
      </c>
      <c r="F51" s="2">
        <v>472</v>
      </c>
      <c r="G51" s="2">
        <v>208</v>
      </c>
      <c r="H51" s="14" t="str">
        <f>VLOOKUP(flu_group[[#This Row],[trust_code]],trust_lookup[],3,0)</f>
        <v>GOSH</v>
      </c>
      <c r="I51" s="14" t="str">
        <f>VLOOKUP(flu_group[[#This Row],[trust_code]],trust_lookup[],4,0)</f>
        <v>Specialist</v>
      </c>
      <c r="K51" s="2" t="s">
        <v>518</v>
      </c>
      <c r="L51" s="2" t="s">
        <v>147</v>
      </c>
      <c r="M51" s="2" t="s">
        <v>148</v>
      </c>
      <c r="N51" s="2" t="s">
        <v>27</v>
      </c>
      <c r="O51" s="2" t="s">
        <v>100</v>
      </c>
      <c r="P51" s="2">
        <v>282</v>
      </c>
      <c r="R51" s="43">
        <v>45649</v>
      </c>
      <c r="S51" s="2">
        <v>52</v>
      </c>
      <c r="T51" s="2" t="s">
        <v>519</v>
      </c>
      <c r="U51" s="2" t="s">
        <v>37</v>
      </c>
      <c r="V51" s="2" t="s">
        <v>38</v>
      </c>
      <c r="W51" s="2" t="s">
        <v>190</v>
      </c>
      <c r="X51" s="23">
        <v>26</v>
      </c>
      <c r="Y51" s="23">
        <v>5444</v>
      </c>
      <c r="Z51" s="23">
        <v>21363</v>
      </c>
      <c r="AA51" s="24">
        <v>0.25483312268876002</v>
      </c>
      <c r="AB51" s="14" t="str">
        <f>VLOOKUP(flu_aw24[[#This Row],[trust_code]],trust_lookup[],3,0)</f>
        <v>Barts</v>
      </c>
      <c r="AD51" s="43">
        <v>46076</v>
      </c>
      <c r="AE51" s="2">
        <v>9</v>
      </c>
      <c r="AF51" s="2" t="s">
        <v>518</v>
      </c>
      <c r="AG51" s="2" t="s">
        <v>25</v>
      </c>
      <c r="AH51" s="2" t="s">
        <v>26</v>
      </c>
      <c r="AI51" s="2" t="s">
        <v>27</v>
      </c>
      <c r="AJ51" s="23">
        <v>5</v>
      </c>
      <c r="AK51" s="23">
        <v>2018</v>
      </c>
      <c r="AL51" s="23">
        <v>5870</v>
      </c>
      <c r="AM51" s="24">
        <v>0.34378194207836399</v>
      </c>
      <c r="AN51" s="44" t="str">
        <f>VLOOKUP(flu_aw25[[#This Row],[trust_code]],trust_lookup[],3,0)</f>
        <v>CNWL</v>
      </c>
      <c r="AP51" s="2" t="s">
        <v>69</v>
      </c>
      <c r="AQ51" s="2" t="s">
        <v>70</v>
      </c>
      <c r="AR51" s="2" t="s">
        <v>190</v>
      </c>
      <c r="AS51" s="2" t="s">
        <v>521</v>
      </c>
      <c r="AT51" s="2">
        <v>1331</v>
      </c>
      <c r="AU51" s="44" t="str">
        <f>VLOOKUP(flu_location[[#This Row],[trust_code]],trust_lookup[],3,0)</f>
        <v>ELFT</v>
      </c>
      <c r="AW51" s="2" t="s">
        <v>55</v>
      </c>
      <c r="AX51" s="2" t="s">
        <v>56</v>
      </c>
      <c r="AY51" s="2" t="s">
        <v>656</v>
      </c>
      <c r="AZ51" s="2">
        <v>469</v>
      </c>
      <c r="BA51" s="2">
        <v>226</v>
      </c>
      <c r="BB51" s="44" t="str">
        <f>VLOOKUP(age_group[[#This Row],[trust_code]],trust_lookup[],3,0)</f>
        <v>ChelWest</v>
      </c>
    </row>
    <row r="52" spans="1:54" x14ac:dyDescent="0.35">
      <c r="A52" s="2" t="s">
        <v>518</v>
      </c>
      <c r="B52" s="2" t="s">
        <v>89</v>
      </c>
      <c r="C52" s="2" t="s">
        <v>90</v>
      </c>
      <c r="D52" s="2" t="s">
        <v>193</v>
      </c>
      <c r="E52" s="2" t="s">
        <v>81</v>
      </c>
      <c r="F52" s="2">
        <v>2099</v>
      </c>
      <c r="G52" s="2">
        <v>626</v>
      </c>
      <c r="H52" s="14" t="str">
        <f>VLOOKUP(flu_group[[#This Row],[trust_code]],trust_lookup[],3,0)</f>
        <v>GSTT</v>
      </c>
      <c r="I52" s="14" t="str">
        <f>VLOOKUP(flu_group[[#This Row],[trust_code]],trust_lookup[],4,0)</f>
        <v>Acute</v>
      </c>
      <c r="K52" s="2" t="s">
        <v>518</v>
      </c>
      <c r="L52" s="2" t="s">
        <v>147</v>
      </c>
      <c r="M52" s="2" t="s">
        <v>148</v>
      </c>
      <c r="N52" s="2" t="s">
        <v>27</v>
      </c>
      <c r="O52" s="2" t="s">
        <v>75</v>
      </c>
      <c r="P52" s="2">
        <v>59</v>
      </c>
      <c r="R52" s="43">
        <v>45656</v>
      </c>
      <c r="S52" s="2">
        <v>1</v>
      </c>
      <c r="T52" s="2" t="s">
        <v>519</v>
      </c>
      <c r="U52" s="2" t="s">
        <v>37</v>
      </c>
      <c r="V52" s="2" t="s">
        <v>38</v>
      </c>
      <c r="W52" s="2" t="s">
        <v>190</v>
      </c>
      <c r="X52" s="23">
        <v>30</v>
      </c>
      <c r="Y52" s="23">
        <v>5474</v>
      </c>
      <c r="Z52" s="23">
        <v>21363</v>
      </c>
      <c r="AA52" s="24">
        <v>0.25623741983803699</v>
      </c>
      <c r="AB52" s="14" t="str">
        <f>VLOOKUP(flu_aw24[[#This Row],[trust_code]],trust_lookup[],3,0)</f>
        <v>Barts</v>
      </c>
      <c r="AD52" s="43">
        <v>45901</v>
      </c>
      <c r="AE52" s="2">
        <v>36</v>
      </c>
      <c r="AF52" s="2" t="s">
        <v>518</v>
      </c>
      <c r="AG52" s="2" t="s">
        <v>170</v>
      </c>
      <c r="AH52" s="2" t="s">
        <v>171</v>
      </c>
      <c r="AI52" s="2" t="s">
        <v>194</v>
      </c>
      <c r="AJ52" s="23">
        <v>1</v>
      </c>
      <c r="AK52" s="23">
        <v>1</v>
      </c>
      <c r="AL52" s="23">
        <v>6877</v>
      </c>
      <c r="AM52" s="24">
        <v>1.4541224371092E-4</v>
      </c>
      <c r="AN52" s="44" t="str">
        <f>VLOOKUP(flu_aw25[[#This Row],[trust_code]],trust_lookup[],3,0)</f>
        <v>St George's</v>
      </c>
      <c r="AP52" s="2" t="s">
        <v>69</v>
      </c>
      <c r="AQ52" s="2" t="s">
        <v>70</v>
      </c>
      <c r="AR52" s="2" t="s">
        <v>190</v>
      </c>
      <c r="AS52" s="2" t="s">
        <v>522</v>
      </c>
      <c r="AT52" s="2">
        <v>522</v>
      </c>
      <c r="AU52" s="44" t="str">
        <f>VLOOKUP(flu_location[[#This Row],[trust_code]],trust_lookup[],3,0)</f>
        <v>ELFT</v>
      </c>
      <c r="AW52" s="2" t="s">
        <v>55</v>
      </c>
      <c r="AX52" s="2" t="s">
        <v>56</v>
      </c>
      <c r="AY52" s="2" t="s">
        <v>657</v>
      </c>
      <c r="AZ52" s="2">
        <v>384</v>
      </c>
      <c r="BA52" s="2">
        <v>185</v>
      </c>
      <c r="BB52" s="44" t="str">
        <f>VLOOKUP(age_group[[#This Row],[trust_code]],trust_lookup[],3,0)</f>
        <v>ChelWest</v>
      </c>
    </row>
    <row r="53" spans="1:54" x14ac:dyDescent="0.35">
      <c r="A53" s="2" t="s">
        <v>518</v>
      </c>
      <c r="B53" s="2" t="s">
        <v>142</v>
      </c>
      <c r="C53" s="2" t="s">
        <v>143</v>
      </c>
      <c r="D53" s="2" t="s">
        <v>190</v>
      </c>
      <c r="E53" s="2" t="s">
        <v>81</v>
      </c>
      <c r="F53" s="2">
        <v>1534</v>
      </c>
      <c r="G53" s="2">
        <v>445</v>
      </c>
      <c r="H53" s="14" t="str">
        <f>VLOOKUP(flu_group[[#This Row],[trust_code]],trust_lookup[],3,0)</f>
        <v>NELFT</v>
      </c>
      <c r="I53" s="14" t="str">
        <f>VLOOKUP(flu_group[[#This Row],[trust_code]],trust_lookup[],4,0)</f>
        <v>Mental Health &amp; Community</v>
      </c>
      <c r="K53" s="2" t="s">
        <v>518</v>
      </c>
      <c r="L53" s="2" t="s">
        <v>147</v>
      </c>
      <c r="M53" s="2" t="s">
        <v>148</v>
      </c>
      <c r="N53" s="2" t="s">
        <v>27</v>
      </c>
      <c r="O53" s="2" t="s">
        <v>106</v>
      </c>
      <c r="P53" s="2">
        <v>23</v>
      </c>
      <c r="R53" s="43">
        <v>45663</v>
      </c>
      <c r="S53" s="2">
        <v>2</v>
      </c>
      <c r="T53" s="2" t="s">
        <v>519</v>
      </c>
      <c r="U53" s="2" t="s">
        <v>37</v>
      </c>
      <c r="V53" s="2" t="s">
        <v>38</v>
      </c>
      <c r="W53" s="2" t="s">
        <v>190</v>
      </c>
      <c r="X53" s="23">
        <v>94</v>
      </c>
      <c r="Y53" s="23">
        <v>5568</v>
      </c>
      <c r="Z53" s="23">
        <v>21363</v>
      </c>
      <c r="AA53" s="24">
        <v>0.26063755090577101</v>
      </c>
      <c r="AB53" s="14" t="str">
        <f>VLOOKUP(flu_aw24[[#This Row],[trust_code]],trust_lookup[],3,0)</f>
        <v>Barts</v>
      </c>
      <c r="AD53" s="43">
        <v>45908</v>
      </c>
      <c r="AE53" s="2">
        <v>37</v>
      </c>
      <c r="AF53" s="2" t="s">
        <v>518</v>
      </c>
      <c r="AG53" s="2" t="s">
        <v>170</v>
      </c>
      <c r="AH53" s="2" t="s">
        <v>171</v>
      </c>
      <c r="AI53" s="2" t="s">
        <v>194</v>
      </c>
      <c r="AJ53" s="23">
        <v>1</v>
      </c>
      <c r="AK53" s="23">
        <v>2</v>
      </c>
      <c r="AL53" s="23">
        <v>6877</v>
      </c>
      <c r="AM53" s="24">
        <v>2.9082448742184E-4</v>
      </c>
      <c r="AN53" s="44" t="str">
        <f>VLOOKUP(flu_aw25[[#This Row],[trust_code]],trust_lookup[],3,0)</f>
        <v>St George's</v>
      </c>
      <c r="AP53" s="2" t="s">
        <v>69</v>
      </c>
      <c r="AQ53" s="2" t="s">
        <v>70</v>
      </c>
      <c r="AR53" s="2" t="s">
        <v>190</v>
      </c>
      <c r="AS53" s="2" t="s">
        <v>524</v>
      </c>
      <c r="AT53" s="2">
        <v>4</v>
      </c>
      <c r="AU53" s="44" t="str">
        <f>VLOOKUP(flu_location[[#This Row],[trust_code]],trust_lookup[],3,0)</f>
        <v>ELFT</v>
      </c>
      <c r="AW53" s="2" t="s">
        <v>55</v>
      </c>
      <c r="AX53" s="2" t="s">
        <v>56</v>
      </c>
      <c r="AY53" s="2" t="s">
        <v>658</v>
      </c>
      <c r="AZ53" s="2">
        <v>294</v>
      </c>
      <c r="BA53" s="2">
        <v>158</v>
      </c>
      <c r="BB53" s="44" t="str">
        <f>VLOOKUP(age_group[[#This Row],[trust_code]],trust_lookup[],3,0)</f>
        <v>ChelWest</v>
      </c>
    </row>
    <row r="54" spans="1:54" x14ac:dyDescent="0.35">
      <c r="A54" s="2" t="s">
        <v>518</v>
      </c>
      <c r="B54" s="2" t="s">
        <v>76</v>
      </c>
      <c r="C54" s="2" t="s">
        <v>77</v>
      </c>
      <c r="D54" s="2" t="s">
        <v>194</v>
      </c>
      <c r="E54" s="2" t="s">
        <v>81</v>
      </c>
      <c r="F54" s="2">
        <v>1558</v>
      </c>
      <c r="G54" s="2">
        <v>550</v>
      </c>
      <c r="H54" s="14" t="str">
        <f>VLOOKUP(flu_group[[#This Row],[trust_code]],trust_lookup[],3,0)</f>
        <v>Epsom</v>
      </c>
      <c r="I54" s="14" t="str">
        <f>VLOOKUP(flu_group[[#This Row],[trust_code]],trust_lookup[],4,0)</f>
        <v>Acute</v>
      </c>
      <c r="K54" s="2" t="s">
        <v>518</v>
      </c>
      <c r="L54" s="2" t="s">
        <v>147</v>
      </c>
      <c r="M54" s="2" t="s">
        <v>148</v>
      </c>
      <c r="N54" s="2" t="s">
        <v>27</v>
      </c>
      <c r="O54" s="2" t="s">
        <v>112</v>
      </c>
      <c r="P54" s="2">
        <v>73</v>
      </c>
      <c r="R54" s="43">
        <v>45670</v>
      </c>
      <c r="S54" s="2">
        <v>3</v>
      </c>
      <c r="T54" s="2" t="s">
        <v>519</v>
      </c>
      <c r="U54" s="2" t="s">
        <v>37</v>
      </c>
      <c r="V54" s="2" t="s">
        <v>38</v>
      </c>
      <c r="W54" s="2" t="s">
        <v>190</v>
      </c>
      <c r="X54" s="23">
        <v>42</v>
      </c>
      <c r="Y54" s="23">
        <v>5610</v>
      </c>
      <c r="Z54" s="23">
        <v>21363</v>
      </c>
      <c r="AA54" s="24">
        <v>0.262603566914759</v>
      </c>
      <c r="AB54" s="14" t="str">
        <f>VLOOKUP(flu_aw24[[#This Row],[trust_code]],trust_lookup[],3,0)</f>
        <v>Barts</v>
      </c>
      <c r="AD54" s="43">
        <v>45915</v>
      </c>
      <c r="AE54" s="2">
        <v>38</v>
      </c>
      <c r="AF54" s="2" t="s">
        <v>518</v>
      </c>
      <c r="AG54" s="2" t="s">
        <v>170</v>
      </c>
      <c r="AH54" s="2" t="s">
        <v>171</v>
      </c>
      <c r="AI54" s="2" t="s">
        <v>194</v>
      </c>
      <c r="AJ54" s="23">
        <v>3</v>
      </c>
      <c r="AK54" s="23">
        <v>5</v>
      </c>
      <c r="AL54" s="23">
        <v>6877</v>
      </c>
      <c r="AM54" s="24">
        <v>7.2706121855460203E-4</v>
      </c>
      <c r="AN54" s="44" t="str">
        <f>VLOOKUP(flu_aw25[[#This Row],[trust_code]],trust_lookup[],3,0)</f>
        <v>St George's</v>
      </c>
      <c r="AP54" s="2" t="s">
        <v>95</v>
      </c>
      <c r="AQ54" s="2" t="s">
        <v>96</v>
      </c>
      <c r="AR54" s="2" t="s">
        <v>190</v>
      </c>
      <c r="AS54" s="2" t="s">
        <v>520</v>
      </c>
      <c r="AT54" s="2">
        <v>171</v>
      </c>
      <c r="AU54" s="44" t="str">
        <f>VLOOKUP(flu_location[[#This Row],[trust_code]],trust_lookup[],3,0)</f>
        <v>Homerton</v>
      </c>
      <c r="AW54" s="2" t="s">
        <v>55</v>
      </c>
      <c r="AX54" s="2" t="s">
        <v>56</v>
      </c>
      <c r="AY54" s="2" t="s">
        <v>659</v>
      </c>
      <c r="AZ54" s="2">
        <v>179</v>
      </c>
      <c r="BA54" s="2">
        <v>114</v>
      </c>
      <c r="BB54" s="44" t="str">
        <f>VLOOKUP(age_group[[#This Row],[trust_code]],trust_lookup[],3,0)</f>
        <v>ChelWest</v>
      </c>
    </row>
    <row r="55" spans="1:54" x14ac:dyDescent="0.35">
      <c r="A55" s="2" t="s">
        <v>518</v>
      </c>
      <c r="B55" s="2" t="s">
        <v>182</v>
      </c>
      <c r="C55" s="2" t="s">
        <v>183</v>
      </c>
      <c r="D55" s="2" t="s">
        <v>27</v>
      </c>
      <c r="E55" s="2" t="s">
        <v>81</v>
      </c>
      <c r="F55" s="2">
        <v>1097</v>
      </c>
      <c r="G55" s="2">
        <v>348</v>
      </c>
      <c r="H55" s="14" t="str">
        <f>VLOOKUP(flu_group[[#This Row],[trust_code]],trust_lookup[],3,0)</f>
        <v>UCLH</v>
      </c>
      <c r="I55" s="14" t="str">
        <f>VLOOKUP(flu_group[[#This Row],[trust_code]],trust_lookup[],4,0)</f>
        <v>Acute</v>
      </c>
      <c r="K55" s="2" t="s">
        <v>518</v>
      </c>
      <c r="L55" s="2" t="s">
        <v>147</v>
      </c>
      <c r="M55" s="2" t="s">
        <v>148</v>
      </c>
      <c r="N55" s="2" t="s">
        <v>27</v>
      </c>
      <c r="O55" s="2" t="s">
        <v>36</v>
      </c>
      <c r="P55" s="2">
        <v>85</v>
      </c>
      <c r="R55" s="43">
        <v>45677</v>
      </c>
      <c r="S55" s="2">
        <v>4</v>
      </c>
      <c r="T55" s="2" t="s">
        <v>519</v>
      </c>
      <c r="U55" s="2" t="s">
        <v>37</v>
      </c>
      <c r="V55" s="2" t="s">
        <v>38</v>
      </c>
      <c r="W55" s="2" t="s">
        <v>190</v>
      </c>
      <c r="X55" s="23">
        <v>41</v>
      </c>
      <c r="Y55" s="23">
        <v>5651</v>
      </c>
      <c r="Z55" s="23">
        <v>21363</v>
      </c>
      <c r="AA55" s="24">
        <v>0.26452277301876997</v>
      </c>
      <c r="AB55" s="14" t="str">
        <f>VLOOKUP(flu_aw24[[#This Row],[trust_code]],trust_lookup[],3,0)</f>
        <v>Barts</v>
      </c>
      <c r="AD55" s="43">
        <v>45922</v>
      </c>
      <c r="AE55" s="2">
        <v>39</v>
      </c>
      <c r="AF55" s="2" t="s">
        <v>518</v>
      </c>
      <c r="AG55" s="2" t="s">
        <v>170</v>
      </c>
      <c r="AH55" s="2" t="s">
        <v>171</v>
      </c>
      <c r="AI55" s="2" t="s">
        <v>194</v>
      </c>
      <c r="AJ55" s="23">
        <v>3</v>
      </c>
      <c r="AK55" s="23">
        <v>8</v>
      </c>
      <c r="AL55" s="23">
        <v>6877</v>
      </c>
      <c r="AM55" s="24">
        <v>1.16329794968736E-3</v>
      </c>
      <c r="AN55" s="44" t="str">
        <f>VLOOKUP(flu_aw25[[#This Row],[trust_code]],trust_lookup[],3,0)</f>
        <v>St George's</v>
      </c>
      <c r="AP55" s="2" t="s">
        <v>95</v>
      </c>
      <c r="AQ55" s="2" t="s">
        <v>96</v>
      </c>
      <c r="AR55" s="2" t="s">
        <v>190</v>
      </c>
      <c r="AS55" s="2" t="s">
        <v>521</v>
      </c>
      <c r="AT55" s="2">
        <v>1372</v>
      </c>
      <c r="AU55" s="44" t="str">
        <f>VLOOKUP(flu_location[[#This Row],[trust_code]],trust_lookup[],3,0)</f>
        <v>Homerton</v>
      </c>
      <c r="AW55" s="2" t="s">
        <v>62</v>
      </c>
      <c r="AX55" s="2" t="s">
        <v>63</v>
      </c>
      <c r="AY55" s="2" t="s">
        <v>650</v>
      </c>
      <c r="AZ55" s="2">
        <v>96</v>
      </c>
      <c r="BA55" s="2">
        <v>34</v>
      </c>
      <c r="BB55" s="44" t="str">
        <f>VLOOKUP(age_group[[#This Row],[trust_code]],trust_lookup[],3,0)</f>
        <v>Croydon</v>
      </c>
    </row>
    <row r="56" spans="1:54" x14ac:dyDescent="0.35">
      <c r="A56" s="2" t="s">
        <v>518</v>
      </c>
      <c r="B56" s="2" t="s">
        <v>107</v>
      </c>
      <c r="C56" s="2" t="s">
        <v>108</v>
      </c>
      <c r="D56" s="2" t="s">
        <v>193</v>
      </c>
      <c r="E56" s="2" t="s">
        <v>81</v>
      </c>
      <c r="F56" s="2">
        <v>1706</v>
      </c>
      <c r="G56" s="2">
        <v>638</v>
      </c>
      <c r="H56" s="14" t="str">
        <f>VLOOKUP(flu_group[[#This Row],[trust_code]],trust_lookup[],3,0)</f>
        <v>King's</v>
      </c>
      <c r="I56" s="14" t="str">
        <f>VLOOKUP(flu_group[[#This Row],[trust_code]],trust_lookup[],4,0)</f>
        <v>Acute</v>
      </c>
      <c r="K56" s="2" t="s">
        <v>518</v>
      </c>
      <c r="L56" s="2" t="s">
        <v>157</v>
      </c>
      <c r="M56" s="2" t="s">
        <v>158</v>
      </c>
      <c r="N56" s="2" t="s">
        <v>27</v>
      </c>
      <c r="O56" s="2" t="s">
        <v>68</v>
      </c>
      <c r="P56" s="2">
        <v>2062</v>
      </c>
      <c r="R56" s="43">
        <v>45684</v>
      </c>
      <c r="S56" s="2">
        <v>5</v>
      </c>
      <c r="T56" s="2" t="s">
        <v>519</v>
      </c>
      <c r="U56" s="2" t="s">
        <v>37</v>
      </c>
      <c r="V56" s="2" t="s">
        <v>38</v>
      </c>
      <c r="W56" s="2" t="s">
        <v>190</v>
      </c>
      <c r="X56" s="23">
        <v>36</v>
      </c>
      <c r="Y56" s="23">
        <v>5687</v>
      </c>
      <c r="Z56" s="23">
        <v>21363</v>
      </c>
      <c r="AA56" s="24">
        <v>0.26620792959790202</v>
      </c>
      <c r="AB56" s="14" t="str">
        <f>VLOOKUP(flu_aw24[[#This Row],[trust_code]],trust_lookup[],3,0)</f>
        <v>Barts</v>
      </c>
      <c r="AD56" s="43">
        <v>45929</v>
      </c>
      <c r="AE56" s="2">
        <v>40</v>
      </c>
      <c r="AF56" s="2" t="s">
        <v>518</v>
      </c>
      <c r="AG56" s="2" t="s">
        <v>170</v>
      </c>
      <c r="AH56" s="2" t="s">
        <v>171</v>
      </c>
      <c r="AI56" s="2" t="s">
        <v>194</v>
      </c>
      <c r="AJ56" s="23">
        <v>152</v>
      </c>
      <c r="AK56" s="23">
        <v>160</v>
      </c>
      <c r="AL56" s="23">
        <v>6877</v>
      </c>
      <c r="AM56" s="24">
        <v>2.3265958993747199E-2</v>
      </c>
      <c r="AN56" s="44" t="str">
        <f>VLOOKUP(flu_aw25[[#This Row],[trust_code]],trust_lookup[],3,0)</f>
        <v>St George's</v>
      </c>
      <c r="AP56" s="2" t="s">
        <v>95</v>
      </c>
      <c r="AQ56" s="2" t="s">
        <v>96</v>
      </c>
      <c r="AR56" s="2" t="s">
        <v>190</v>
      </c>
      <c r="AS56" s="2" t="s">
        <v>522</v>
      </c>
      <c r="AT56" s="2">
        <v>151</v>
      </c>
      <c r="AU56" s="44" t="str">
        <f>VLOOKUP(flu_location[[#This Row],[trust_code]],trust_lookup[],3,0)</f>
        <v>Homerton</v>
      </c>
      <c r="AW56" s="2" t="s">
        <v>62</v>
      </c>
      <c r="AX56" s="2" t="s">
        <v>63</v>
      </c>
      <c r="AY56" s="2" t="s">
        <v>651</v>
      </c>
      <c r="AZ56" s="2">
        <v>341</v>
      </c>
      <c r="BA56" s="2">
        <v>123</v>
      </c>
      <c r="BB56" s="44" t="str">
        <f>VLOOKUP(age_group[[#This Row],[trust_code]],trust_lookup[],3,0)</f>
        <v>Croydon</v>
      </c>
    </row>
    <row r="57" spans="1:54" x14ac:dyDescent="0.35">
      <c r="A57" s="2" t="s">
        <v>518</v>
      </c>
      <c r="B57" s="2" t="s">
        <v>167</v>
      </c>
      <c r="C57" s="2" t="s">
        <v>168</v>
      </c>
      <c r="D57" s="2" t="s">
        <v>194</v>
      </c>
      <c r="E57" s="2" t="s">
        <v>81</v>
      </c>
      <c r="F57" s="2">
        <v>901</v>
      </c>
      <c r="G57" s="2">
        <v>241</v>
      </c>
      <c r="H57" s="14" t="str">
        <f>VLOOKUP(flu_group[[#This Row],[trust_code]],trust_lookup[],3,0)</f>
        <v>SWL&amp;StG</v>
      </c>
      <c r="I57" s="14" t="str">
        <f>VLOOKUP(flu_group[[#This Row],[trust_code]],trust_lookup[],4,0)</f>
        <v>Mental Health</v>
      </c>
      <c r="K57" s="2" t="s">
        <v>518</v>
      </c>
      <c r="L57" s="2" t="s">
        <v>157</v>
      </c>
      <c r="M57" s="2" t="s">
        <v>158</v>
      </c>
      <c r="N57" s="2" t="s">
        <v>27</v>
      </c>
      <c r="O57" s="2" t="s">
        <v>135</v>
      </c>
      <c r="P57" s="2">
        <v>112</v>
      </c>
      <c r="R57" s="43">
        <v>45691</v>
      </c>
      <c r="S57" s="2">
        <v>6</v>
      </c>
      <c r="T57" s="2" t="s">
        <v>519</v>
      </c>
      <c r="U57" s="2" t="s">
        <v>37</v>
      </c>
      <c r="V57" s="2" t="s">
        <v>38</v>
      </c>
      <c r="W57" s="2" t="s">
        <v>190</v>
      </c>
      <c r="X57" s="23">
        <v>32</v>
      </c>
      <c r="Y57" s="23">
        <v>5719</v>
      </c>
      <c r="Z57" s="23">
        <v>21363</v>
      </c>
      <c r="AA57" s="24">
        <v>0.26770584655713098</v>
      </c>
      <c r="AB57" s="14" t="str">
        <f>VLOOKUP(flu_aw24[[#This Row],[trust_code]],trust_lookup[],3,0)</f>
        <v>Barts</v>
      </c>
      <c r="AD57" s="43">
        <v>45936</v>
      </c>
      <c r="AE57" s="2">
        <v>41</v>
      </c>
      <c r="AF57" s="2" t="s">
        <v>518</v>
      </c>
      <c r="AG57" s="2" t="s">
        <v>170</v>
      </c>
      <c r="AH57" s="2" t="s">
        <v>171</v>
      </c>
      <c r="AI57" s="2" t="s">
        <v>194</v>
      </c>
      <c r="AJ57" s="23">
        <v>199</v>
      </c>
      <c r="AK57" s="23">
        <v>359</v>
      </c>
      <c r="AL57" s="23">
        <v>6877</v>
      </c>
      <c r="AM57" s="24">
        <v>5.2202995492220398E-2</v>
      </c>
      <c r="AN57" s="44" t="str">
        <f>VLOOKUP(flu_aw25[[#This Row],[trust_code]],trust_lookup[],3,0)</f>
        <v>St George's</v>
      </c>
      <c r="AP57" s="2" t="s">
        <v>95</v>
      </c>
      <c r="AQ57" s="2" t="s">
        <v>96</v>
      </c>
      <c r="AR57" s="2" t="s">
        <v>190</v>
      </c>
      <c r="AS57" s="2" t="s">
        <v>524</v>
      </c>
      <c r="AT57" s="2">
        <v>3</v>
      </c>
      <c r="AU57" s="44" t="str">
        <f>VLOOKUP(flu_location[[#This Row],[trust_code]],trust_lookup[],3,0)</f>
        <v>Homerton</v>
      </c>
      <c r="AW57" s="2" t="s">
        <v>62</v>
      </c>
      <c r="AX57" s="2" t="s">
        <v>63</v>
      </c>
      <c r="AY57" s="2" t="s">
        <v>652</v>
      </c>
      <c r="AZ57" s="2">
        <v>419</v>
      </c>
      <c r="BA57" s="2">
        <v>175</v>
      </c>
      <c r="BB57" s="44" t="str">
        <f>VLOOKUP(age_group[[#This Row],[trust_code]],trust_lookup[],3,0)</f>
        <v>Croydon</v>
      </c>
    </row>
    <row r="58" spans="1:54" x14ac:dyDescent="0.35">
      <c r="A58" s="2" t="s">
        <v>518</v>
      </c>
      <c r="B58" s="2" t="s">
        <v>37</v>
      </c>
      <c r="C58" s="2" t="s">
        <v>38</v>
      </c>
      <c r="D58" s="2" t="s">
        <v>190</v>
      </c>
      <c r="E58" s="2" t="s">
        <v>81</v>
      </c>
      <c r="F58" s="2">
        <v>3292</v>
      </c>
      <c r="G58" s="2">
        <v>843</v>
      </c>
      <c r="H58" s="14" t="str">
        <f>VLOOKUP(flu_group[[#This Row],[trust_code]],trust_lookup[],3,0)</f>
        <v>Barts</v>
      </c>
      <c r="I58" s="14" t="str">
        <f>VLOOKUP(flu_group[[#This Row],[trust_code]],trust_lookup[],4,0)</f>
        <v>Acute</v>
      </c>
      <c r="K58" s="2" t="s">
        <v>518</v>
      </c>
      <c r="L58" s="2" t="s">
        <v>157</v>
      </c>
      <c r="M58" s="2" t="s">
        <v>158</v>
      </c>
      <c r="N58" s="2" t="s">
        <v>27</v>
      </c>
      <c r="O58" s="2" t="s">
        <v>54</v>
      </c>
      <c r="P58" s="2">
        <v>702</v>
      </c>
      <c r="R58" s="43">
        <v>45698</v>
      </c>
      <c r="S58" s="2">
        <v>7</v>
      </c>
      <c r="T58" s="2" t="s">
        <v>519</v>
      </c>
      <c r="U58" s="2" t="s">
        <v>37</v>
      </c>
      <c r="V58" s="2" t="s">
        <v>38</v>
      </c>
      <c r="W58" s="2" t="s">
        <v>190</v>
      </c>
      <c r="X58" s="23">
        <v>18</v>
      </c>
      <c r="Y58" s="23">
        <v>5737</v>
      </c>
      <c r="Z58" s="23">
        <v>21363</v>
      </c>
      <c r="AA58" s="24">
        <v>0.268548424846697</v>
      </c>
      <c r="AB58" s="14" t="str">
        <f>VLOOKUP(flu_aw24[[#This Row],[trust_code]],trust_lookup[],3,0)</f>
        <v>Barts</v>
      </c>
      <c r="AD58" s="43">
        <v>45943</v>
      </c>
      <c r="AE58" s="2">
        <v>42</v>
      </c>
      <c r="AF58" s="2" t="s">
        <v>518</v>
      </c>
      <c r="AG58" s="2" t="s">
        <v>170</v>
      </c>
      <c r="AH58" s="2" t="s">
        <v>171</v>
      </c>
      <c r="AI58" s="2" t="s">
        <v>194</v>
      </c>
      <c r="AJ58" s="23">
        <v>389</v>
      </c>
      <c r="AK58" s="23">
        <v>748</v>
      </c>
      <c r="AL58" s="23">
        <v>6877</v>
      </c>
      <c r="AM58" s="24">
        <v>0.108768358295768</v>
      </c>
      <c r="AN58" s="44" t="str">
        <f>VLOOKUP(flu_aw25[[#This Row],[trust_code]],trust_lookup[],3,0)</f>
        <v>St George's</v>
      </c>
      <c r="AP58" s="2" t="s">
        <v>142</v>
      </c>
      <c r="AQ58" s="2" t="s">
        <v>143</v>
      </c>
      <c r="AR58" s="2" t="s">
        <v>190</v>
      </c>
      <c r="AS58" s="2" t="s">
        <v>520</v>
      </c>
      <c r="AT58" s="2">
        <v>476</v>
      </c>
      <c r="AU58" s="44" t="str">
        <f>VLOOKUP(flu_location[[#This Row],[trust_code]],trust_lookup[],3,0)</f>
        <v>NELFT</v>
      </c>
      <c r="AW58" s="2" t="s">
        <v>62</v>
      </c>
      <c r="AX58" s="2" t="s">
        <v>63</v>
      </c>
      <c r="AY58" s="2" t="s">
        <v>653</v>
      </c>
      <c r="AZ58" s="2">
        <v>492</v>
      </c>
      <c r="BA58" s="2">
        <v>193</v>
      </c>
      <c r="BB58" s="44" t="str">
        <f>VLOOKUP(age_group[[#This Row],[trust_code]],trust_lookup[],3,0)</f>
        <v>Croydon</v>
      </c>
    </row>
    <row r="59" spans="1:54" x14ac:dyDescent="0.35">
      <c r="A59" s="2" t="s">
        <v>518</v>
      </c>
      <c r="B59" s="2" t="s">
        <v>179</v>
      </c>
      <c r="C59" s="2" t="s">
        <v>180</v>
      </c>
      <c r="D59" s="2" t="s">
        <v>194</v>
      </c>
      <c r="E59" s="2" t="s">
        <v>81</v>
      </c>
      <c r="F59" s="2">
        <v>585</v>
      </c>
      <c r="G59" s="2">
        <v>209</v>
      </c>
      <c r="H59" s="14" t="str">
        <f>VLOOKUP(flu_group[[#This Row],[trust_code]],trust_lookup[],3,0)</f>
        <v>Marsden</v>
      </c>
      <c r="I59" s="14" t="str">
        <f>VLOOKUP(flu_group[[#This Row],[trust_code]],trust_lookup[],4,0)</f>
        <v>Specialist</v>
      </c>
      <c r="K59" s="2" t="s">
        <v>518</v>
      </c>
      <c r="L59" s="2" t="s">
        <v>157</v>
      </c>
      <c r="M59" s="2" t="s">
        <v>158</v>
      </c>
      <c r="N59" s="2" t="s">
        <v>27</v>
      </c>
      <c r="O59" s="2" t="s">
        <v>129</v>
      </c>
      <c r="P59" s="2">
        <v>24</v>
      </c>
      <c r="R59" s="43">
        <v>45705</v>
      </c>
      <c r="S59" s="2">
        <v>8</v>
      </c>
      <c r="T59" s="2" t="s">
        <v>519</v>
      </c>
      <c r="U59" s="2" t="s">
        <v>37</v>
      </c>
      <c r="V59" s="2" t="s">
        <v>38</v>
      </c>
      <c r="W59" s="2" t="s">
        <v>190</v>
      </c>
      <c r="X59" s="23">
        <v>17</v>
      </c>
      <c r="Y59" s="23">
        <v>5754</v>
      </c>
      <c r="Z59" s="23">
        <v>21363</v>
      </c>
      <c r="AA59" s="24">
        <v>0.269344193231287</v>
      </c>
      <c r="AB59" s="14" t="str">
        <f>VLOOKUP(flu_aw24[[#This Row],[trust_code]],trust_lookup[],3,0)</f>
        <v>Barts</v>
      </c>
      <c r="AD59" s="43">
        <v>45950</v>
      </c>
      <c r="AE59" s="2">
        <v>43</v>
      </c>
      <c r="AF59" s="2" t="s">
        <v>518</v>
      </c>
      <c r="AG59" s="2" t="s">
        <v>170</v>
      </c>
      <c r="AH59" s="2" t="s">
        <v>171</v>
      </c>
      <c r="AI59" s="2" t="s">
        <v>194</v>
      </c>
      <c r="AJ59" s="23">
        <v>257</v>
      </c>
      <c r="AK59" s="23">
        <v>1005</v>
      </c>
      <c r="AL59" s="23">
        <v>6877</v>
      </c>
      <c r="AM59" s="24">
        <v>0.14613930492947499</v>
      </c>
      <c r="AN59" s="44" t="str">
        <f>VLOOKUP(flu_aw25[[#This Row],[trust_code]],trust_lookup[],3,0)</f>
        <v>St George's</v>
      </c>
      <c r="AP59" s="2" t="s">
        <v>142</v>
      </c>
      <c r="AQ59" s="2" t="s">
        <v>143</v>
      </c>
      <c r="AR59" s="2" t="s">
        <v>190</v>
      </c>
      <c r="AS59" s="2" t="s">
        <v>521</v>
      </c>
      <c r="AT59" s="2">
        <v>961</v>
      </c>
      <c r="AU59" s="44" t="str">
        <f>VLOOKUP(flu_location[[#This Row],[trust_code]],trust_lookup[],3,0)</f>
        <v>NELFT</v>
      </c>
      <c r="AW59" s="2" t="s">
        <v>62</v>
      </c>
      <c r="AX59" s="2" t="s">
        <v>63</v>
      </c>
      <c r="AY59" s="2" t="s">
        <v>654</v>
      </c>
      <c r="AZ59" s="2">
        <v>414</v>
      </c>
      <c r="BA59" s="2">
        <v>125</v>
      </c>
      <c r="BB59" s="44" t="str">
        <f>VLOOKUP(age_group[[#This Row],[trust_code]],trust_lookup[],3,0)</f>
        <v>Croydon</v>
      </c>
    </row>
    <row r="60" spans="1:54" x14ac:dyDescent="0.35">
      <c r="A60" s="2" t="s">
        <v>518</v>
      </c>
      <c r="B60" s="2" t="s">
        <v>187</v>
      </c>
      <c r="C60" s="2" t="s">
        <v>188</v>
      </c>
      <c r="D60" s="2" t="s">
        <v>192</v>
      </c>
      <c r="E60" s="2" t="s">
        <v>81</v>
      </c>
      <c r="F60" s="2">
        <v>1340</v>
      </c>
      <c r="G60" s="2">
        <v>368</v>
      </c>
      <c r="H60" s="14" t="str">
        <f>VLOOKUP(flu_group[[#This Row],[trust_code]],trust_lookup[],3,0)</f>
        <v>West London</v>
      </c>
      <c r="I60" s="14" t="str">
        <f>VLOOKUP(flu_group[[#This Row],[trust_code]],trust_lookup[],4,0)</f>
        <v>Mental Health &amp; Community</v>
      </c>
      <c r="K60" s="2" t="s">
        <v>518</v>
      </c>
      <c r="L60" s="2" t="s">
        <v>157</v>
      </c>
      <c r="M60" s="2" t="s">
        <v>158</v>
      </c>
      <c r="N60" s="2" t="s">
        <v>27</v>
      </c>
      <c r="O60" s="2" t="s">
        <v>47</v>
      </c>
      <c r="P60" s="2">
        <v>62</v>
      </c>
      <c r="R60" s="43">
        <v>45712</v>
      </c>
      <c r="S60" s="2">
        <v>9</v>
      </c>
      <c r="T60" s="2" t="s">
        <v>519</v>
      </c>
      <c r="U60" s="2" t="s">
        <v>37</v>
      </c>
      <c r="V60" s="2" t="s">
        <v>38</v>
      </c>
      <c r="W60" s="2" t="s">
        <v>190</v>
      </c>
      <c r="X60" s="23">
        <v>6</v>
      </c>
      <c r="Y60" s="23">
        <v>5760</v>
      </c>
      <c r="Z60" s="23">
        <v>21363</v>
      </c>
      <c r="AA60" s="24">
        <v>0.26962505266114301</v>
      </c>
      <c r="AB60" s="14" t="str">
        <f>VLOOKUP(flu_aw24[[#This Row],[trust_code]],trust_lookup[],3,0)</f>
        <v>Barts</v>
      </c>
      <c r="AD60" s="43">
        <v>45957</v>
      </c>
      <c r="AE60" s="2">
        <v>44</v>
      </c>
      <c r="AF60" s="2" t="s">
        <v>518</v>
      </c>
      <c r="AG60" s="2" t="s">
        <v>170</v>
      </c>
      <c r="AH60" s="2" t="s">
        <v>171</v>
      </c>
      <c r="AI60" s="2" t="s">
        <v>194</v>
      </c>
      <c r="AJ60" s="23">
        <v>267</v>
      </c>
      <c r="AK60" s="23">
        <v>1272</v>
      </c>
      <c r="AL60" s="23">
        <v>6877</v>
      </c>
      <c r="AM60" s="24">
        <v>0.18496437400029</v>
      </c>
      <c r="AN60" s="44" t="str">
        <f>VLOOKUP(flu_aw25[[#This Row],[trust_code]],trust_lookup[],3,0)</f>
        <v>St George's</v>
      </c>
      <c r="AP60" s="2" t="s">
        <v>142</v>
      </c>
      <c r="AQ60" s="2" t="s">
        <v>143</v>
      </c>
      <c r="AR60" s="2" t="s">
        <v>190</v>
      </c>
      <c r="AS60" s="2" t="s">
        <v>522</v>
      </c>
      <c r="AT60" s="2">
        <v>560</v>
      </c>
      <c r="AU60" s="44" t="str">
        <f>VLOOKUP(flu_location[[#This Row],[trust_code]],trust_lookup[],3,0)</f>
        <v>NELFT</v>
      </c>
      <c r="AW60" s="2" t="s">
        <v>62</v>
      </c>
      <c r="AX60" s="2" t="s">
        <v>63</v>
      </c>
      <c r="AY60" s="2" t="s">
        <v>655</v>
      </c>
      <c r="AZ60" s="2">
        <v>441</v>
      </c>
      <c r="BA60" s="2">
        <v>167</v>
      </c>
      <c r="BB60" s="44" t="str">
        <f>VLOOKUP(age_group[[#This Row],[trust_code]],trust_lookup[],3,0)</f>
        <v>Croydon</v>
      </c>
    </row>
    <row r="61" spans="1:54" x14ac:dyDescent="0.35">
      <c r="A61" s="2" t="s">
        <v>518</v>
      </c>
      <c r="B61" s="2" t="s">
        <v>124</v>
      </c>
      <c r="C61" s="2" t="s">
        <v>125</v>
      </c>
      <c r="D61" s="2" t="s">
        <v>192</v>
      </c>
      <c r="E61" s="2" t="s">
        <v>81</v>
      </c>
      <c r="F61" s="2">
        <v>1418</v>
      </c>
      <c r="G61" s="2">
        <v>654</v>
      </c>
      <c r="H61" s="14" t="str">
        <f>VLOOKUP(flu_group[[#This Row],[trust_code]],trust_lookup[],3,0)</f>
        <v>LAS</v>
      </c>
      <c r="I61" s="14" t="str">
        <f>VLOOKUP(flu_group[[#This Row],[trust_code]],trust_lookup[],4,0)</f>
        <v>Ambulance</v>
      </c>
      <c r="K61" s="2" t="s">
        <v>518</v>
      </c>
      <c r="L61" s="2" t="s">
        <v>157</v>
      </c>
      <c r="M61" s="2" t="s">
        <v>158</v>
      </c>
      <c r="N61" s="2" t="s">
        <v>27</v>
      </c>
      <c r="O61" s="2" t="s">
        <v>94</v>
      </c>
      <c r="P61" s="2">
        <v>74</v>
      </c>
      <c r="R61" s="43">
        <v>45719</v>
      </c>
      <c r="S61" s="2">
        <v>10</v>
      </c>
      <c r="T61" s="2" t="s">
        <v>519</v>
      </c>
      <c r="U61" s="2" t="s">
        <v>37</v>
      </c>
      <c r="V61" s="2" t="s">
        <v>38</v>
      </c>
      <c r="W61" s="2" t="s">
        <v>190</v>
      </c>
      <c r="X61" s="23">
        <v>12</v>
      </c>
      <c r="Y61" s="23">
        <v>5772</v>
      </c>
      <c r="Z61" s="23">
        <v>21363</v>
      </c>
      <c r="AA61" s="24">
        <v>0.27018677152085302</v>
      </c>
      <c r="AB61" s="14" t="str">
        <f>VLOOKUP(flu_aw24[[#This Row],[trust_code]],trust_lookup[],3,0)</f>
        <v>Barts</v>
      </c>
      <c r="AD61" s="43">
        <v>45964</v>
      </c>
      <c r="AE61" s="2">
        <v>45</v>
      </c>
      <c r="AF61" s="2" t="s">
        <v>518</v>
      </c>
      <c r="AG61" s="2" t="s">
        <v>170</v>
      </c>
      <c r="AH61" s="2" t="s">
        <v>171</v>
      </c>
      <c r="AI61" s="2" t="s">
        <v>194</v>
      </c>
      <c r="AJ61" s="23">
        <v>236</v>
      </c>
      <c r="AK61" s="23">
        <v>1508</v>
      </c>
      <c r="AL61" s="23">
        <v>6877</v>
      </c>
      <c r="AM61" s="24">
        <v>0.21928166351606801</v>
      </c>
      <c r="AN61" s="44" t="str">
        <f>VLOOKUP(flu_aw25[[#This Row],[trust_code]],trust_lookup[],3,0)</f>
        <v>St George's</v>
      </c>
      <c r="AP61" s="2" t="s">
        <v>142</v>
      </c>
      <c r="AQ61" s="2" t="s">
        <v>143</v>
      </c>
      <c r="AR61" s="2" t="s">
        <v>190</v>
      </c>
      <c r="AS61" s="2" t="s">
        <v>524</v>
      </c>
      <c r="AT61" s="2">
        <v>2</v>
      </c>
      <c r="AU61" s="44" t="str">
        <f>VLOOKUP(flu_location[[#This Row],[trust_code]],trust_lookup[],3,0)</f>
        <v>NELFT</v>
      </c>
      <c r="AW61" s="2" t="s">
        <v>62</v>
      </c>
      <c r="AX61" s="2" t="s">
        <v>63</v>
      </c>
      <c r="AY61" s="2" t="s">
        <v>656</v>
      </c>
      <c r="AZ61" s="2">
        <v>426</v>
      </c>
      <c r="BA61" s="2">
        <v>172</v>
      </c>
      <c r="BB61" s="44" t="str">
        <f>VLOOKUP(age_group[[#This Row],[trust_code]],trust_lookup[],3,0)</f>
        <v>Croydon</v>
      </c>
    </row>
    <row r="62" spans="1:54" x14ac:dyDescent="0.35">
      <c r="A62" s="2" t="s">
        <v>518</v>
      </c>
      <c r="B62" s="2" t="s">
        <v>130</v>
      </c>
      <c r="C62" s="2" t="s">
        <v>131</v>
      </c>
      <c r="D62" s="2" t="s">
        <v>192</v>
      </c>
      <c r="E62" s="2" t="s">
        <v>81</v>
      </c>
      <c r="F62" s="2">
        <v>544</v>
      </c>
      <c r="G62" s="2">
        <v>157</v>
      </c>
      <c r="H62" s="14" t="str">
        <f>VLOOKUP(flu_group[[#This Row],[trust_code]],trust_lookup[],3,0)</f>
        <v>LNW</v>
      </c>
      <c r="I62" s="14" t="str">
        <f>VLOOKUP(flu_group[[#This Row],[trust_code]],trust_lookup[],4,0)</f>
        <v>Acute</v>
      </c>
      <c r="K62" s="2" t="s">
        <v>518</v>
      </c>
      <c r="L62" s="2" t="s">
        <v>157</v>
      </c>
      <c r="M62" s="2" t="s">
        <v>158</v>
      </c>
      <c r="N62" s="2" t="s">
        <v>27</v>
      </c>
      <c r="O62" s="2" t="s">
        <v>29</v>
      </c>
      <c r="P62" s="2">
        <v>83</v>
      </c>
      <c r="R62" s="43">
        <v>45726</v>
      </c>
      <c r="S62" s="2">
        <v>11</v>
      </c>
      <c r="T62" s="2" t="s">
        <v>519</v>
      </c>
      <c r="U62" s="2" t="s">
        <v>37</v>
      </c>
      <c r="V62" s="2" t="s">
        <v>38</v>
      </c>
      <c r="W62" s="2" t="s">
        <v>190</v>
      </c>
      <c r="X62" s="23">
        <v>11</v>
      </c>
      <c r="Y62" s="23">
        <v>5783</v>
      </c>
      <c r="Z62" s="23">
        <v>21363</v>
      </c>
      <c r="AA62" s="24">
        <v>0.27070168047558801</v>
      </c>
      <c r="AB62" s="14" t="str">
        <f>VLOOKUP(flu_aw24[[#This Row],[trust_code]],trust_lookup[],3,0)</f>
        <v>Barts</v>
      </c>
      <c r="AD62" s="43">
        <v>45971</v>
      </c>
      <c r="AE62" s="2">
        <v>46</v>
      </c>
      <c r="AF62" s="2" t="s">
        <v>518</v>
      </c>
      <c r="AG62" s="2" t="s">
        <v>170</v>
      </c>
      <c r="AH62" s="2" t="s">
        <v>171</v>
      </c>
      <c r="AI62" s="2" t="s">
        <v>194</v>
      </c>
      <c r="AJ62" s="23">
        <v>302</v>
      </c>
      <c r="AK62" s="23">
        <v>1810</v>
      </c>
      <c r="AL62" s="23">
        <v>6877</v>
      </c>
      <c r="AM62" s="24">
        <v>0.26319616111676603</v>
      </c>
      <c r="AN62" s="44" t="str">
        <f>VLOOKUP(flu_aw25[[#This Row],[trust_code]],trust_lookup[],3,0)</f>
        <v>St George's</v>
      </c>
      <c r="AP62" s="2" t="s">
        <v>48</v>
      </c>
      <c r="AQ62" s="2" t="s">
        <v>49</v>
      </c>
      <c r="AR62" s="2" t="s">
        <v>192</v>
      </c>
      <c r="AS62" s="2" t="s">
        <v>520</v>
      </c>
      <c r="AT62" s="2">
        <v>268</v>
      </c>
      <c r="AU62" s="44" t="str">
        <f>VLOOKUP(flu_location[[#This Row],[trust_code]],trust_lookup[],3,0)</f>
        <v>CLCH</v>
      </c>
      <c r="AW62" s="2" t="s">
        <v>62</v>
      </c>
      <c r="AX62" s="2" t="s">
        <v>63</v>
      </c>
      <c r="AY62" s="2" t="s">
        <v>657</v>
      </c>
      <c r="AZ62" s="2">
        <v>323</v>
      </c>
      <c r="BA62" s="2">
        <v>134</v>
      </c>
      <c r="BB62" s="44" t="str">
        <f>VLOOKUP(age_group[[#This Row],[trust_code]],trust_lookup[],3,0)</f>
        <v>Croydon</v>
      </c>
    </row>
    <row r="63" spans="1:54" x14ac:dyDescent="0.35">
      <c r="A63" s="2" t="s">
        <v>518</v>
      </c>
      <c r="B63" s="2" t="s">
        <v>101</v>
      </c>
      <c r="C63" s="2" t="s">
        <v>102</v>
      </c>
      <c r="D63" s="2" t="s">
        <v>192</v>
      </c>
      <c r="E63" s="2" t="s">
        <v>81</v>
      </c>
      <c r="F63" s="2">
        <v>1397</v>
      </c>
      <c r="G63" s="2">
        <v>364</v>
      </c>
      <c r="H63" s="14" t="str">
        <f>VLOOKUP(flu_group[[#This Row],[trust_code]],trust_lookup[],3,0)</f>
        <v>Imperial</v>
      </c>
      <c r="I63" s="14" t="str">
        <f>VLOOKUP(flu_group[[#This Row],[trust_code]],trust_lookup[],4,0)</f>
        <v>Acute</v>
      </c>
      <c r="K63" s="2" t="s">
        <v>518</v>
      </c>
      <c r="L63" s="2" t="s">
        <v>157</v>
      </c>
      <c r="M63" s="2" t="s">
        <v>158</v>
      </c>
      <c r="N63" s="2" t="s">
        <v>27</v>
      </c>
      <c r="O63" s="2" t="s">
        <v>123</v>
      </c>
      <c r="P63" s="2">
        <v>735</v>
      </c>
      <c r="R63" s="43">
        <v>45733</v>
      </c>
      <c r="S63" s="2">
        <v>12</v>
      </c>
      <c r="T63" s="2" t="s">
        <v>519</v>
      </c>
      <c r="U63" s="2" t="s">
        <v>37</v>
      </c>
      <c r="V63" s="2" t="s">
        <v>38</v>
      </c>
      <c r="W63" s="2" t="s">
        <v>190</v>
      </c>
      <c r="X63" s="23">
        <v>5</v>
      </c>
      <c r="Y63" s="23">
        <v>5788</v>
      </c>
      <c r="Z63" s="23">
        <v>21363</v>
      </c>
      <c r="AA63" s="24">
        <v>0.270935730000468</v>
      </c>
      <c r="AB63" s="14" t="str">
        <f>VLOOKUP(flu_aw24[[#This Row],[trust_code]],trust_lookup[],3,0)</f>
        <v>Barts</v>
      </c>
      <c r="AD63" s="43">
        <v>45978</v>
      </c>
      <c r="AE63" s="2">
        <v>47</v>
      </c>
      <c r="AF63" s="2" t="s">
        <v>518</v>
      </c>
      <c r="AG63" s="2" t="s">
        <v>170</v>
      </c>
      <c r="AH63" s="2" t="s">
        <v>171</v>
      </c>
      <c r="AI63" s="2" t="s">
        <v>194</v>
      </c>
      <c r="AJ63" s="23">
        <v>245</v>
      </c>
      <c r="AK63" s="23">
        <v>2055</v>
      </c>
      <c r="AL63" s="23">
        <v>6877</v>
      </c>
      <c r="AM63" s="24">
        <v>0.29882216082594099</v>
      </c>
      <c r="AN63" s="44" t="str">
        <f>VLOOKUP(flu_aw25[[#This Row],[trust_code]],trust_lookup[],3,0)</f>
        <v>St George's</v>
      </c>
      <c r="AP63" s="2" t="s">
        <v>48</v>
      </c>
      <c r="AQ63" s="2" t="s">
        <v>49</v>
      </c>
      <c r="AR63" s="2" t="s">
        <v>192</v>
      </c>
      <c r="AS63" s="2" t="s">
        <v>521</v>
      </c>
      <c r="AT63" s="2">
        <v>912</v>
      </c>
      <c r="AU63" s="44" t="str">
        <f>VLOOKUP(flu_location[[#This Row],[trust_code]],trust_lookup[],3,0)</f>
        <v>CLCH</v>
      </c>
      <c r="AW63" s="2" t="s">
        <v>62</v>
      </c>
      <c r="AX63" s="2" t="s">
        <v>63</v>
      </c>
      <c r="AY63" s="2" t="s">
        <v>658</v>
      </c>
      <c r="AZ63" s="2">
        <v>239</v>
      </c>
      <c r="BA63" s="2">
        <v>118</v>
      </c>
      <c r="BB63" s="44" t="str">
        <f>VLOOKUP(age_group[[#This Row],[trust_code]],trust_lookup[],3,0)</f>
        <v>Croydon</v>
      </c>
    </row>
    <row r="64" spans="1:54" x14ac:dyDescent="0.35">
      <c r="A64" s="2" t="s">
        <v>518</v>
      </c>
      <c r="B64" s="2" t="s">
        <v>62</v>
      </c>
      <c r="C64" s="2" t="s">
        <v>63</v>
      </c>
      <c r="D64" s="2" t="s">
        <v>194</v>
      </c>
      <c r="E64" s="2" t="s">
        <v>81</v>
      </c>
      <c r="F64" s="2">
        <v>657</v>
      </c>
      <c r="G64" s="2">
        <v>214</v>
      </c>
      <c r="H64" s="14" t="str">
        <f>VLOOKUP(flu_group[[#This Row],[trust_code]],trust_lookup[],3,0)</f>
        <v>Croydon</v>
      </c>
      <c r="I64" s="14" t="str">
        <f>VLOOKUP(flu_group[[#This Row],[trust_code]],trust_lookup[],4,0)</f>
        <v>Acute &amp; Community</v>
      </c>
      <c r="K64" s="2" t="s">
        <v>518</v>
      </c>
      <c r="L64" s="2" t="s">
        <v>157</v>
      </c>
      <c r="M64" s="2" t="s">
        <v>158</v>
      </c>
      <c r="N64" s="2" t="s">
        <v>27</v>
      </c>
      <c r="O64" s="2" t="s">
        <v>82</v>
      </c>
      <c r="P64" s="2">
        <v>155</v>
      </c>
      <c r="R64" s="43">
        <v>45740</v>
      </c>
      <c r="S64" s="2">
        <v>13</v>
      </c>
      <c r="T64" s="2" t="s">
        <v>519</v>
      </c>
      <c r="U64" s="2" t="s">
        <v>37</v>
      </c>
      <c r="V64" s="2" t="s">
        <v>38</v>
      </c>
      <c r="W64" s="2" t="s">
        <v>190</v>
      </c>
      <c r="X64" s="23">
        <v>4</v>
      </c>
      <c r="Y64" s="23">
        <v>5792</v>
      </c>
      <c r="Z64" s="23">
        <v>21363</v>
      </c>
      <c r="AA64" s="24">
        <v>0.27112296962037102</v>
      </c>
      <c r="AB64" s="14" t="str">
        <f>VLOOKUP(flu_aw24[[#This Row],[trust_code]],trust_lookup[],3,0)</f>
        <v>Barts</v>
      </c>
      <c r="AD64" s="43">
        <v>45985</v>
      </c>
      <c r="AE64" s="2">
        <v>48</v>
      </c>
      <c r="AF64" s="2" t="s">
        <v>518</v>
      </c>
      <c r="AG64" s="2" t="s">
        <v>170</v>
      </c>
      <c r="AH64" s="2" t="s">
        <v>171</v>
      </c>
      <c r="AI64" s="2" t="s">
        <v>194</v>
      </c>
      <c r="AJ64" s="23">
        <v>303</v>
      </c>
      <c r="AK64" s="23">
        <v>2358</v>
      </c>
      <c r="AL64" s="23">
        <v>6877</v>
      </c>
      <c r="AM64" s="24">
        <v>0.34288207067034998</v>
      </c>
      <c r="AN64" s="44" t="str">
        <f>VLOOKUP(flu_aw25[[#This Row],[trust_code]],trust_lookup[],3,0)</f>
        <v>St George's</v>
      </c>
      <c r="AP64" s="2" t="s">
        <v>48</v>
      </c>
      <c r="AQ64" s="2" t="s">
        <v>49</v>
      </c>
      <c r="AR64" s="2" t="s">
        <v>192</v>
      </c>
      <c r="AS64" s="2" t="s">
        <v>522</v>
      </c>
      <c r="AT64" s="2">
        <v>366</v>
      </c>
      <c r="AU64" s="44" t="str">
        <f>VLOOKUP(flu_location[[#This Row],[trust_code]],trust_lookup[],3,0)</f>
        <v>CLCH</v>
      </c>
      <c r="AW64" s="2" t="s">
        <v>62</v>
      </c>
      <c r="AX64" s="2" t="s">
        <v>63</v>
      </c>
      <c r="AY64" s="2" t="s">
        <v>659</v>
      </c>
      <c r="AZ64" s="2">
        <v>140</v>
      </c>
      <c r="BA64" s="2">
        <v>79</v>
      </c>
      <c r="BB64" s="44" t="str">
        <f>VLOOKUP(age_group[[#This Row],[trust_code]],trust_lookup[],3,0)</f>
        <v>Croydon</v>
      </c>
    </row>
    <row r="65" spans="1:54" x14ac:dyDescent="0.35">
      <c r="A65" s="2" t="s">
        <v>518</v>
      </c>
      <c r="B65" s="2" t="s">
        <v>69</v>
      </c>
      <c r="C65" s="2" t="s">
        <v>70</v>
      </c>
      <c r="D65" s="2" t="s">
        <v>190</v>
      </c>
      <c r="E65" s="2" t="s">
        <v>81</v>
      </c>
      <c r="F65" s="2">
        <v>2827</v>
      </c>
      <c r="G65" s="2">
        <v>717</v>
      </c>
      <c r="H65" s="14" t="str">
        <f>VLOOKUP(flu_group[[#This Row],[trust_code]],trust_lookup[],3,0)</f>
        <v>ELFT</v>
      </c>
      <c r="I65" s="14" t="str">
        <f>VLOOKUP(flu_group[[#This Row],[trust_code]],trust_lookup[],4,0)</f>
        <v>Mental Health &amp; Community</v>
      </c>
      <c r="K65" s="2" t="s">
        <v>518</v>
      </c>
      <c r="L65" s="2" t="s">
        <v>157</v>
      </c>
      <c r="M65" s="2" t="s">
        <v>158</v>
      </c>
      <c r="N65" s="2" t="s">
        <v>27</v>
      </c>
      <c r="O65" s="2" t="s">
        <v>88</v>
      </c>
      <c r="P65" s="2">
        <v>87</v>
      </c>
      <c r="R65" s="43">
        <v>45747</v>
      </c>
      <c r="S65" s="2">
        <v>14</v>
      </c>
      <c r="T65" s="2" t="s">
        <v>519</v>
      </c>
      <c r="U65" s="2" t="s">
        <v>37</v>
      </c>
      <c r="V65" s="2" t="s">
        <v>38</v>
      </c>
      <c r="W65" s="2" t="s">
        <v>190</v>
      </c>
      <c r="X65" s="23">
        <v>1</v>
      </c>
      <c r="Y65" s="23">
        <v>5793</v>
      </c>
      <c r="Z65" s="23">
        <v>21363</v>
      </c>
      <c r="AA65" s="24">
        <v>0.27116977952534699</v>
      </c>
      <c r="AB65" s="14" t="str">
        <f>VLOOKUP(flu_aw24[[#This Row],[trust_code]],trust_lookup[],3,0)</f>
        <v>Barts</v>
      </c>
      <c r="AD65" s="43">
        <v>45992</v>
      </c>
      <c r="AE65" s="2">
        <v>49</v>
      </c>
      <c r="AF65" s="2" t="s">
        <v>518</v>
      </c>
      <c r="AG65" s="2" t="s">
        <v>170</v>
      </c>
      <c r="AH65" s="2" t="s">
        <v>171</v>
      </c>
      <c r="AI65" s="2" t="s">
        <v>194</v>
      </c>
      <c r="AJ65" s="23">
        <v>163</v>
      </c>
      <c r="AK65" s="23">
        <v>2521</v>
      </c>
      <c r="AL65" s="23">
        <v>6877</v>
      </c>
      <c r="AM65" s="24">
        <v>0.36658426639523001</v>
      </c>
      <c r="AN65" s="44" t="str">
        <f>VLOOKUP(flu_aw25[[#This Row],[trust_code]],trust_lookup[],3,0)</f>
        <v>St George's</v>
      </c>
      <c r="AP65" s="2" t="s">
        <v>48</v>
      </c>
      <c r="AQ65" s="2" t="s">
        <v>49</v>
      </c>
      <c r="AR65" s="2" t="s">
        <v>192</v>
      </c>
      <c r="AS65" s="2" t="s">
        <v>524</v>
      </c>
      <c r="AT65" s="2">
        <v>3</v>
      </c>
      <c r="AU65" s="44" t="str">
        <f>VLOOKUP(flu_location[[#This Row],[trust_code]],trust_lookup[],3,0)</f>
        <v>CLCH</v>
      </c>
      <c r="AW65" s="2" t="s">
        <v>69</v>
      </c>
      <c r="AX65" s="2" t="s">
        <v>70</v>
      </c>
      <c r="AY65" s="2" t="s">
        <v>650</v>
      </c>
      <c r="AZ65" s="2">
        <v>309</v>
      </c>
      <c r="BA65" s="2">
        <v>44</v>
      </c>
      <c r="BB65" s="44" t="str">
        <f>VLOOKUP(age_group[[#This Row],[trust_code]],trust_lookup[],3,0)</f>
        <v>ELFT</v>
      </c>
    </row>
    <row r="66" spans="1:54" x14ac:dyDescent="0.35">
      <c r="A66" s="2" t="s">
        <v>518</v>
      </c>
      <c r="B66" s="2" t="s">
        <v>164</v>
      </c>
      <c r="C66" s="2" t="s">
        <v>165</v>
      </c>
      <c r="D66" s="2" t="s">
        <v>193</v>
      </c>
      <c r="E66" s="2" t="s">
        <v>81</v>
      </c>
      <c r="F66" s="2">
        <v>903</v>
      </c>
      <c r="G66" s="2">
        <v>235</v>
      </c>
      <c r="H66" s="14" t="str">
        <f>VLOOKUP(flu_group[[#This Row],[trust_code]],trust_lookup[],3,0)</f>
        <v>SLAM</v>
      </c>
      <c r="I66" s="14" t="str">
        <f>VLOOKUP(flu_group[[#This Row],[trust_code]],trust_lookup[],4,0)</f>
        <v>Mental Health</v>
      </c>
      <c r="K66" s="2" t="s">
        <v>518</v>
      </c>
      <c r="L66" s="2" t="s">
        <v>157</v>
      </c>
      <c r="M66" s="2" t="s">
        <v>158</v>
      </c>
      <c r="N66" s="2" t="s">
        <v>27</v>
      </c>
      <c r="O66" s="2" t="s">
        <v>141</v>
      </c>
      <c r="P66" s="2">
        <v>721</v>
      </c>
      <c r="R66" s="43">
        <v>45537</v>
      </c>
      <c r="S66" s="2">
        <v>36</v>
      </c>
      <c r="T66" s="2" t="s">
        <v>519</v>
      </c>
      <c r="U66" s="2" t="s">
        <v>25</v>
      </c>
      <c r="V66" s="2" t="s">
        <v>26</v>
      </c>
      <c r="W66" s="2" t="s">
        <v>27</v>
      </c>
      <c r="X66" s="23">
        <v>1</v>
      </c>
      <c r="Y66" s="23">
        <v>1</v>
      </c>
      <c r="Z66" s="23">
        <v>5870</v>
      </c>
      <c r="AA66" s="24">
        <v>1.7035775127768299E-4</v>
      </c>
      <c r="AB66" s="14" t="str">
        <f>VLOOKUP(flu_aw24[[#This Row],[trust_code]],trust_lookup[],3,0)</f>
        <v>CNWL</v>
      </c>
      <c r="AD66" s="43">
        <v>45999</v>
      </c>
      <c r="AE66" s="2">
        <v>50</v>
      </c>
      <c r="AF66" s="2" t="s">
        <v>518</v>
      </c>
      <c r="AG66" s="2" t="s">
        <v>170</v>
      </c>
      <c r="AH66" s="2" t="s">
        <v>171</v>
      </c>
      <c r="AI66" s="2" t="s">
        <v>194</v>
      </c>
      <c r="AJ66" s="23">
        <v>127</v>
      </c>
      <c r="AK66" s="23">
        <v>2648</v>
      </c>
      <c r="AL66" s="23">
        <v>6877</v>
      </c>
      <c r="AM66" s="24">
        <v>0.38505162134651699</v>
      </c>
      <c r="AN66" s="44" t="str">
        <f>VLOOKUP(flu_aw25[[#This Row],[trust_code]],trust_lookup[],3,0)</f>
        <v>St George's</v>
      </c>
      <c r="AP66" s="2" t="s">
        <v>55</v>
      </c>
      <c r="AQ66" s="2" t="s">
        <v>56</v>
      </c>
      <c r="AR66" s="2" t="s">
        <v>192</v>
      </c>
      <c r="AS66" s="2" t="s">
        <v>520</v>
      </c>
      <c r="AT66" s="2">
        <v>197</v>
      </c>
      <c r="AU66" s="44" t="str">
        <f>VLOOKUP(flu_location[[#This Row],[trust_code]],trust_lookup[],3,0)</f>
        <v>ChelWest</v>
      </c>
      <c r="AW66" s="2" t="s">
        <v>69</v>
      </c>
      <c r="AX66" s="2" t="s">
        <v>70</v>
      </c>
      <c r="AY66" s="2" t="s">
        <v>651</v>
      </c>
      <c r="AZ66" s="2">
        <v>812</v>
      </c>
      <c r="BA66" s="2">
        <v>201</v>
      </c>
      <c r="BB66" s="44" t="str">
        <f>VLOOKUP(age_group[[#This Row],[trust_code]],trust_lookup[],3,0)</f>
        <v>ELFT</v>
      </c>
    </row>
    <row r="67" spans="1:54" x14ac:dyDescent="0.35">
      <c r="A67" s="2" t="s">
        <v>518</v>
      </c>
      <c r="B67" s="2" t="s">
        <v>173</v>
      </c>
      <c r="C67" s="2" t="s">
        <v>174</v>
      </c>
      <c r="D67" s="2" t="s">
        <v>27</v>
      </c>
      <c r="E67" s="2" t="s">
        <v>81</v>
      </c>
      <c r="F67" s="2">
        <v>45</v>
      </c>
      <c r="G67" s="2">
        <v>5</v>
      </c>
      <c r="H67" s="14" t="str">
        <f>VLOOKUP(flu_group[[#This Row],[trust_code]],trust_lookup[],3,0)</f>
        <v>T&amp;P</v>
      </c>
      <c r="I67" s="14" t="str">
        <f>VLOOKUP(flu_group[[#This Row],[trust_code]],trust_lookup[],4,0)</f>
        <v>Mental Health</v>
      </c>
      <c r="K67" s="2" t="s">
        <v>518</v>
      </c>
      <c r="L67" s="2" t="s">
        <v>157</v>
      </c>
      <c r="M67" s="2" t="s">
        <v>158</v>
      </c>
      <c r="N67" s="2" t="s">
        <v>27</v>
      </c>
      <c r="O67" s="2" t="s">
        <v>61</v>
      </c>
      <c r="P67" s="2">
        <v>116</v>
      </c>
      <c r="R67" s="43">
        <v>45544</v>
      </c>
      <c r="S67" s="2">
        <v>37</v>
      </c>
      <c r="T67" s="2" t="s">
        <v>519</v>
      </c>
      <c r="U67" s="2" t="s">
        <v>25</v>
      </c>
      <c r="V67" s="2" t="s">
        <v>26</v>
      </c>
      <c r="W67" s="2" t="s">
        <v>27</v>
      </c>
      <c r="X67" s="23">
        <v>1</v>
      </c>
      <c r="Y67" s="23">
        <v>2</v>
      </c>
      <c r="Z67" s="23">
        <v>5870</v>
      </c>
      <c r="AA67" s="24">
        <v>3.4071550255536598E-4</v>
      </c>
      <c r="AB67" s="14" t="str">
        <f>VLOOKUP(flu_aw24[[#This Row],[trust_code]],trust_lookup[],3,0)</f>
        <v>CNWL</v>
      </c>
      <c r="AD67" s="43">
        <v>46006</v>
      </c>
      <c r="AE67" s="2">
        <v>51</v>
      </c>
      <c r="AF67" s="2" t="s">
        <v>518</v>
      </c>
      <c r="AG67" s="2" t="s">
        <v>170</v>
      </c>
      <c r="AH67" s="2" t="s">
        <v>171</v>
      </c>
      <c r="AI67" s="2" t="s">
        <v>194</v>
      </c>
      <c r="AJ67" s="23">
        <v>94</v>
      </c>
      <c r="AK67" s="23">
        <v>2742</v>
      </c>
      <c r="AL67" s="23">
        <v>6877</v>
      </c>
      <c r="AM67" s="24">
        <v>0.39872037225534301</v>
      </c>
      <c r="AN67" s="44" t="str">
        <f>VLOOKUP(flu_aw25[[#This Row],[trust_code]],trust_lookup[],3,0)</f>
        <v>St George's</v>
      </c>
      <c r="AP67" s="2" t="s">
        <v>55</v>
      </c>
      <c r="AQ67" s="2" t="s">
        <v>56</v>
      </c>
      <c r="AR67" s="2" t="s">
        <v>192</v>
      </c>
      <c r="AS67" s="2" t="s">
        <v>521</v>
      </c>
      <c r="AT67" s="2">
        <v>1851</v>
      </c>
      <c r="AU67" s="44" t="str">
        <f>VLOOKUP(flu_location[[#This Row],[trust_code]],trust_lookup[],3,0)</f>
        <v>ChelWest</v>
      </c>
      <c r="AW67" s="2" t="s">
        <v>69</v>
      </c>
      <c r="AX67" s="2" t="s">
        <v>70</v>
      </c>
      <c r="AY67" s="2" t="s">
        <v>652</v>
      </c>
      <c r="AZ67" s="2">
        <v>975</v>
      </c>
      <c r="BA67" s="2">
        <v>273</v>
      </c>
      <c r="BB67" s="44" t="str">
        <f>VLOOKUP(age_group[[#This Row],[trust_code]],trust_lookup[],3,0)</f>
        <v>ELFT</v>
      </c>
    </row>
    <row r="68" spans="1:54" x14ac:dyDescent="0.35">
      <c r="A68" s="2" t="s">
        <v>518</v>
      </c>
      <c r="B68" s="2" t="s">
        <v>147</v>
      </c>
      <c r="C68" s="2" t="s">
        <v>148</v>
      </c>
      <c r="D68" s="2" t="s">
        <v>27</v>
      </c>
      <c r="E68" s="2" t="s">
        <v>46</v>
      </c>
      <c r="F68" s="2">
        <v>100</v>
      </c>
      <c r="G68" s="2">
        <v>32</v>
      </c>
      <c r="H68" s="14" t="str">
        <f>VLOOKUP(flu_group[[#This Row],[trust_code]],trust_lookup[],3,0)</f>
        <v>North London</v>
      </c>
      <c r="I68" s="14" t="str">
        <f>VLOOKUP(flu_group[[#This Row],[trust_code]],trust_lookup[],4,0)</f>
        <v>Mental Health</v>
      </c>
      <c r="K68" s="2" t="s">
        <v>518</v>
      </c>
      <c r="L68" s="2" t="s">
        <v>157</v>
      </c>
      <c r="M68" s="2" t="s">
        <v>158</v>
      </c>
      <c r="N68" s="2" t="s">
        <v>27</v>
      </c>
      <c r="O68" s="2" t="s">
        <v>100</v>
      </c>
      <c r="P68" s="2">
        <v>686</v>
      </c>
      <c r="R68" s="43">
        <v>45551</v>
      </c>
      <c r="S68" s="2">
        <v>38</v>
      </c>
      <c r="T68" s="2" t="s">
        <v>519</v>
      </c>
      <c r="U68" s="2" t="s">
        <v>25</v>
      </c>
      <c r="V68" s="2" t="s">
        <v>26</v>
      </c>
      <c r="W68" s="2" t="s">
        <v>27</v>
      </c>
      <c r="X68" s="23">
        <v>4</v>
      </c>
      <c r="Y68" s="23">
        <v>6</v>
      </c>
      <c r="Z68" s="23">
        <v>5870</v>
      </c>
      <c r="AA68" s="24">
        <v>1.02214650766609E-3</v>
      </c>
      <c r="AB68" s="14" t="str">
        <f>VLOOKUP(flu_aw24[[#This Row],[trust_code]],trust_lookup[],3,0)</f>
        <v>CNWL</v>
      </c>
      <c r="AD68" s="43">
        <v>46013</v>
      </c>
      <c r="AE68" s="2">
        <v>52</v>
      </c>
      <c r="AF68" s="2" t="s">
        <v>518</v>
      </c>
      <c r="AG68" s="2" t="s">
        <v>170</v>
      </c>
      <c r="AH68" s="2" t="s">
        <v>171</v>
      </c>
      <c r="AI68" s="2" t="s">
        <v>194</v>
      </c>
      <c r="AJ68" s="23">
        <v>17</v>
      </c>
      <c r="AK68" s="23">
        <v>2759</v>
      </c>
      <c r="AL68" s="23">
        <v>6877</v>
      </c>
      <c r="AM68" s="24">
        <v>0.40119238039842903</v>
      </c>
      <c r="AN68" s="44" t="str">
        <f>VLOOKUP(flu_aw25[[#This Row],[trust_code]],trust_lookup[],3,0)</f>
        <v>St George's</v>
      </c>
      <c r="AP68" s="2" t="s">
        <v>55</v>
      </c>
      <c r="AQ68" s="2" t="s">
        <v>56</v>
      </c>
      <c r="AR68" s="2" t="s">
        <v>192</v>
      </c>
      <c r="AS68" s="2" t="s">
        <v>522</v>
      </c>
      <c r="AT68" s="2">
        <v>127</v>
      </c>
      <c r="AU68" s="44" t="str">
        <f>VLOOKUP(flu_location[[#This Row],[trust_code]],trust_lookup[],3,0)</f>
        <v>ChelWest</v>
      </c>
      <c r="AW68" s="2" t="s">
        <v>69</v>
      </c>
      <c r="AX68" s="2" t="s">
        <v>70</v>
      </c>
      <c r="AY68" s="2" t="s">
        <v>653</v>
      </c>
      <c r="AZ68" s="2">
        <v>839</v>
      </c>
      <c r="BA68" s="2">
        <v>247</v>
      </c>
      <c r="BB68" s="44" t="str">
        <f>VLOOKUP(age_group[[#This Row],[trust_code]],trust_lookup[],3,0)</f>
        <v>ELFT</v>
      </c>
    </row>
    <row r="69" spans="1:54" x14ac:dyDescent="0.35">
      <c r="A69" s="2" t="s">
        <v>518</v>
      </c>
      <c r="B69" s="2" t="s">
        <v>37</v>
      </c>
      <c r="C69" s="2" t="s">
        <v>38</v>
      </c>
      <c r="D69" s="2" t="s">
        <v>190</v>
      </c>
      <c r="E69" s="2" t="s">
        <v>46</v>
      </c>
      <c r="F69" s="2">
        <v>1278</v>
      </c>
      <c r="G69" s="2">
        <v>263</v>
      </c>
      <c r="H69" s="14" t="str">
        <f>VLOOKUP(flu_group[[#This Row],[trust_code]],trust_lookup[],3,0)</f>
        <v>Barts</v>
      </c>
      <c r="I69" s="14" t="str">
        <f>VLOOKUP(flu_group[[#This Row],[trust_code]],trust_lookup[],4,0)</f>
        <v>Acute</v>
      </c>
      <c r="K69" s="2" t="s">
        <v>518</v>
      </c>
      <c r="L69" s="2" t="s">
        <v>157</v>
      </c>
      <c r="M69" s="2" t="s">
        <v>158</v>
      </c>
      <c r="N69" s="2" t="s">
        <v>27</v>
      </c>
      <c r="O69" s="2" t="s">
        <v>75</v>
      </c>
      <c r="P69" s="2">
        <v>165</v>
      </c>
      <c r="R69" s="43">
        <v>45558</v>
      </c>
      <c r="S69" s="2">
        <v>39</v>
      </c>
      <c r="T69" s="2" t="s">
        <v>519</v>
      </c>
      <c r="U69" s="2" t="s">
        <v>25</v>
      </c>
      <c r="V69" s="2" t="s">
        <v>26</v>
      </c>
      <c r="W69" s="2" t="s">
        <v>27</v>
      </c>
      <c r="X69" s="23">
        <v>7</v>
      </c>
      <c r="Y69" s="23">
        <v>13</v>
      </c>
      <c r="Z69" s="23">
        <v>5870</v>
      </c>
      <c r="AA69" s="24">
        <v>2.21465076660988E-3</v>
      </c>
      <c r="AB69" s="14" t="str">
        <f>VLOOKUP(flu_aw24[[#This Row],[trust_code]],trust_lookup[],3,0)</f>
        <v>CNWL</v>
      </c>
      <c r="AD69" s="43">
        <v>46020</v>
      </c>
      <c r="AE69" s="2">
        <v>1</v>
      </c>
      <c r="AF69" s="2" t="s">
        <v>518</v>
      </c>
      <c r="AG69" s="2" t="s">
        <v>170</v>
      </c>
      <c r="AH69" s="2" t="s">
        <v>171</v>
      </c>
      <c r="AI69" s="2" t="s">
        <v>194</v>
      </c>
      <c r="AJ69" s="23">
        <v>9</v>
      </c>
      <c r="AK69" s="23">
        <v>2768</v>
      </c>
      <c r="AL69" s="23">
        <v>6877</v>
      </c>
      <c r="AM69" s="24">
        <v>0.40250109059182698</v>
      </c>
      <c r="AN69" s="44" t="str">
        <f>VLOOKUP(flu_aw25[[#This Row],[trust_code]],trust_lookup[],3,0)</f>
        <v>St George's</v>
      </c>
      <c r="AP69" s="2" t="s">
        <v>55</v>
      </c>
      <c r="AQ69" s="2" t="s">
        <v>56</v>
      </c>
      <c r="AR69" s="2" t="s">
        <v>192</v>
      </c>
      <c r="AS69" s="2" t="s">
        <v>524</v>
      </c>
      <c r="AT69" s="2">
        <v>12</v>
      </c>
      <c r="AU69" s="44" t="str">
        <f>VLOOKUP(flu_location[[#This Row],[trust_code]],trust_lookup[],3,0)</f>
        <v>ChelWest</v>
      </c>
      <c r="AW69" s="2" t="s">
        <v>69</v>
      </c>
      <c r="AX69" s="2" t="s">
        <v>70</v>
      </c>
      <c r="AY69" s="2" t="s">
        <v>654</v>
      </c>
      <c r="AZ69" s="2">
        <v>917</v>
      </c>
      <c r="BA69" s="2">
        <v>256</v>
      </c>
      <c r="BB69" s="44" t="str">
        <f>VLOOKUP(age_group[[#This Row],[trust_code]],trust_lookup[],3,0)</f>
        <v>ELFT</v>
      </c>
    </row>
    <row r="70" spans="1:54" x14ac:dyDescent="0.35">
      <c r="A70" s="2" t="s">
        <v>518</v>
      </c>
      <c r="B70" s="2" t="s">
        <v>30</v>
      </c>
      <c r="C70" s="2" t="s">
        <v>31</v>
      </c>
      <c r="D70" s="2" t="s">
        <v>190</v>
      </c>
      <c r="E70" s="2" t="s">
        <v>46</v>
      </c>
      <c r="F70" s="2">
        <v>87</v>
      </c>
      <c r="G70" s="2">
        <v>41</v>
      </c>
      <c r="H70" s="14" t="str">
        <f>VLOOKUP(flu_group[[#This Row],[trust_code]],trust_lookup[],3,0)</f>
        <v>BHR</v>
      </c>
      <c r="I70" s="14" t="str">
        <f>VLOOKUP(flu_group[[#This Row],[trust_code]],trust_lookup[],4,0)</f>
        <v>Acute</v>
      </c>
      <c r="K70" s="2" t="s">
        <v>518</v>
      </c>
      <c r="L70" s="2" t="s">
        <v>157</v>
      </c>
      <c r="M70" s="2" t="s">
        <v>158</v>
      </c>
      <c r="N70" s="2" t="s">
        <v>27</v>
      </c>
      <c r="O70" s="2" t="s">
        <v>106</v>
      </c>
      <c r="P70" s="2">
        <v>156</v>
      </c>
      <c r="R70" s="43">
        <v>45565</v>
      </c>
      <c r="S70" s="2">
        <v>40</v>
      </c>
      <c r="T70" s="2" t="s">
        <v>519</v>
      </c>
      <c r="U70" s="2" t="s">
        <v>25</v>
      </c>
      <c r="V70" s="2" t="s">
        <v>26</v>
      </c>
      <c r="W70" s="2" t="s">
        <v>27</v>
      </c>
      <c r="X70" s="23">
        <v>157</v>
      </c>
      <c r="Y70" s="23">
        <v>170</v>
      </c>
      <c r="Z70" s="23">
        <v>5870</v>
      </c>
      <c r="AA70" s="24">
        <v>2.89608177172061E-2</v>
      </c>
      <c r="AB70" s="14" t="str">
        <f>VLOOKUP(flu_aw24[[#This Row],[trust_code]],trust_lookup[],3,0)</f>
        <v>CNWL</v>
      </c>
      <c r="AD70" s="43">
        <v>46027</v>
      </c>
      <c r="AE70" s="2">
        <v>2</v>
      </c>
      <c r="AF70" s="2" t="s">
        <v>518</v>
      </c>
      <c r="AG70" s="2" t="s">
        <v>170</v>
      </c>
      <c r="AH70" s="2" t="s">
        <v>171</v>
      </c>
      <c r="AI70" s="2" t="s">
        <v>194</v>
      </c>
      <c r="AJ70" s="23">
        <v>22</v>
      </c>
      <c r="AK70" s="23">
        <v>2790</v>
      </c>
      <c r="AL70" s="23">
        <v>6877</v>
      </c>
      <c r="AM70" s="24">
        <v>0.40570015995346798</v>
      </c>
      <c r="AN70" s="44" t="str">
        <f>VLOOKUP(flu_aw25[[#This Row],[trust_code]],trust_lookup[],3,0)</f>
        <v>St George's</v>
      </c>
      <c r="AP70" s="2" t="s">
        <v>101</v>
      </c>
      <c r="AQ70" s="2" t="s">
        <v>102</v>
      </c>
      <c r="AR70" s="2" t="s">
        <v>192</v>
      </c>
      <c r="AS70" s="2" t="s">
        <v>520</v>
      </c>
      <c r="AT70" s="2">
        <v>559</v>
      </c>
      <c r="AU70" s="44" t="str">
        <f>VLOOKUP(flu_location[[#This Row],[trust_code]],trust_lookup[],3,0)</f>
        <v>Imperial</v>
      </c>
      <c r="AW70" s="2" t="s">
        <v>69</v>
      </c>
      <c r="AX70" s="2" t="s">
        <v>70</v>
      </c>
      <c r="AY70" s="2" t="s">
        <v>655</v>
      </c>
      <c r="AZ70" s="2">
        <v>927</v>
      </c>
      <c r="BA70" s="2">
        <v>280</v>
      </c>
      <c r="BB70" s="44" t="str">
        <f>VLOOKUP(age_group[[#This Row],[trust_code]],trust_lookup[],3,0)</f>
        <v>ELFT</v>
      </c>
    </row>
    <row r="71" spans="1:54" x14ac:dyDescent="0.35">
      <c r="A71" s="2" t="s">
        <v>518</v>
      </c>
      <c r="B71" s="2" t="s">
        <v>113</v>
      </c>
      <c r="C71" s="2" t="s">
        <v>114</v>
      </c>
      <c r="D71" s="2" t="s">
        <v>194</v>
      </c>
      <c r="E71" s="2" t="s">
        <v>46</v>
      </c>
      <c r="F71" s="2">
        <v>118</v>
      </c>
      <c r="G71" s="2">
        <v>61</v>
      </c>
      <c r="H71" s="14" t="str">
        <f>VLOOKUP(flu_group[[#This Row],[trust_code]],trust_lookup[],3,0)</f>
        <v>K&amp;R FT</v>
      </c>
      <c r="I71" s="14" t="str">
        <f>VLOOKUP(flu_group[[#This Row],[trust_code]],trust_lookup[],4,0)</f>
        <v>Acute &amp; Community</v>
      </c>
      <c r="K71" s="2" t="s">
        <v>518</v>
      </c>
      <c r="L71" s="2" t="s">
        <v>157</v>
      </c>
      <c r="M71" s="2" t="s">
        <v>158</v>
      </c>
      <c r="N71" s="2" t="s">
        <v>27</v>
      </c>
      <c r="O71" s="2" t="s">
        <v>112</v>
      </c>
      <c r="P71" s="2">
        <v>535</v>
      </c>
      <c r="R71" s="43">
        <v>45572</v>
      </c>
      <c r="S71" s="2">
        <v>41</v>
      </c>
      <c r="T71" s="2" t="s">
        <v>519</v>
      </c>
      <c r="U71" s="2" t="s">
        <v>25</v>
      </c>
      <c r="V71" s="2" t="s">
        <v>26</v>
      </c>
      <c r="W71" s="2" t="s">
        <v>27</v>
      </c>
      <c r="X71" s="23">
        <v>251</v>
      </c>
      <c r="Y71" s="23">
        <v>421</v>
      </c>
      <c r="Z71" s="23">
        <v>5870</v>
      </c>
      <c r="AA71" s="24">
        <v>7.1720613287904605E-2</v>
      </c>
      <c r="AB71" s="14" t="str">
        <f>VLOOKUP(flu_aw24[[#This Row],[trust_code]],trust_lookup[],3,0)</f>
        <v>CNWL</v>
      </c>
      <c r="AD71" s="43">
        <v>46034</v>
      </c>
      <c r="AE71" s="2">
        <v>3</v>
      </c>
      <c r="AF71" s="2" t="s">
        <v>518</v>
      </c>
      <c r="AG71" s="2" t="s">
        <v>170</v>
      </c>
      <c r="AH71" s="2" t="s">
        <v>171</v>
      </c>
      <c r="AI71" s="2" t="s">
        <v>194</v>
      </c>
      <c r="AJ71" s="23">
        <v>19</v>
      </c>
      <c r="AK71" s="23">
        <v>2809</v>
      </c>
      <c r="AL71" s="23">
        <v>6877</v>
      </c>
      <c r="AM71" s="24">
        <v>0.408462992583975</v>
      </c>
      <c r="AN71" s="44" t="str">
        <f>VLOOKUP(flu_aw25[[#This Row],[trust_code]],trust_lookup[],3,0)</f>
        <v>St George's</v>
      </c>
      <c r="AP71" s="2" t="s">
        <v>101</v>
      </c>
      <c r="AQ71" s="2" t="s">
        <v>102</v>
      </c>
      <c r="AR71" s="2" t="s">
        <v>192</v>
      </c>
      <c r="AS71" s="2" t="s">
        <v>521</v>
      </c>
      <c r="AT71" s="2">
        <v>3204</v>
      </c>
      <c r="AU71" s="44" t="str">
        <f>VLOOKUP(flu_location[[#This Row],[trust_code]],trust_lookup[],3,0)</f>
        <v>Imperial</v>
      </c>
      <c r="AW71" s="2" t="s">
        <v>69</v>
      </c>
      <c r="AX71" s="2" t="s">
        <v>70</v>
      </c>
      <c r="AY71" s="2" t="s">
        <v>656</v>
      </c>
      <c r="AZ71" s="2">
        <v>829</v>
      </c>
      <c r="BA71" s="2">
        <v>292</v>
      </c>
      <c r="BB71" s="44" t="str">
        <f>VLOOKUP(age_group[[#This Row],[trust_code]],trust_lookup[],3,0)</f>
        <v>ELFT</v>
      </c>
    </row>
    <row r="72" spans="1:54" x14ac:dyDescent="0.35">
      <c r="A72" s="2" t="s">
        <v>518</v>
      </c>
      <c r="B72" s="2" t="s">
        <v>48</v>
      </c>
      <c r="C72" s="2" t="s">
        <v>49</v>
      </c>
      <c r="D72" s="2" t="s">
        <v>192</v>
      </c>
      <c r="E72" s="2" t="s">
        <v>46</v>
      </c>
      <c r="F72" s="2">
        <v>321</v>
      </c>
      <c r="G72" s="2">
        <v>132</v>
      </c>
      <c r="H72" s="14" t="str">
        <f>VLOOKUP(flu_group[[#This Row],[trust_code]],trust_lookup[],3,0)</f>
        <v>CLCH</v>
      </c>
      <c r="I72" s="14" t="str">
        <f>VLOOKUP(flu_group[[#This Row],[trust_code]],trust_lookup[],4,0)</f>
        <v>Community</v>
      </c>
      <c r="K72" s="2" t="s">
        <v>518</v>
      </c>
      <c r="L72" s="2" t="s">
        <v>157</v>
      </c>
      <c r="M72" s="2" t="s">
        <v>158</v>
      </c>
      <c r="N72" s="2" t="s">
        <v>27</v>
      </c>
      <c r="O72" s="2" t="s">
        <v>36</v>
      </c>
      <c r="P72" s="2">
        <v>513</v>
      </c>
      <c r="R72" s="43">
        <v>45579</v>
      </c>
      <c r="S72" s="2">
        <v>42</v>
      </c>
      <c r="T72" s="2" t="s">
        <v>519</v>
      </c>
      <c r="U72" s="2" t="s">
        <v>25</v>
      </c>
      <c r="V72" s="2" t="s">
        <v>26</v>
      </c>
      <c r="W72" s="2" t="s">
        <v>27</v>
      </c>
      <c r="X72" s="23">
        <v>212</v>
      </c>
      <c r="Y72" s="23">
        <v>633</v>
      </c>
      <c r="Z72" s="23">
        <v>5870</v>
      </c>
      <c r="AA72" s="24">
        <v>0.107836456558773</v>
      </c>
      <c r="AB72" s="14" t="str">
        <f>VLOOKUP(flu_aw24[[#This Row],[trust_code]],trust_lookup[],3,0)</f>
        <v>CNWL</v>
      </c>
      <c r="AD72" s="43">
        <v>46041</v>
      </c>
      <c r="AE72" s="2">
        <v>4</v>
      </c>
      <c r="AF72" s="2" t="s">
        <v>518</v>
      </c>
      <c r="AG72" s="2" t="s">
        <v>170</v>
      </c>
      <c r="AH72" s="2" t="s">
        <v>171</v>
      </c>
      <c r="AI72" s="2" t="s">
        <v>194</v>
      </c>
      <c r="AJ72" s="23">
        <v>19</v>
      </c>
      <c r="AK72" s="23">
        <v>2828</v>
      </c>
      <c r="AL72" s="23">
        <v>6877</v>
      </c>
      <c r="AM72" s="24">
        <v>0.41122582521448298</v>
      </c>
      <c r="AN72" s="44" t="str">
        <f>VLOOKUP(flu_aw25[[#This Row],[trust_code]],trust_lookup[],3,0)</f>
        <v>St George's</v>
      </c>
      <c r="AP72" s="2" t="s">
        <v>101</v>
      </c>
      <c r="AQ72" s="2" t="s">
        <v>102</v>
      </c>
      <c r="AR72" s="2" t="s">
        <v>192</v>
      </c>
      <c r="AS72" s="2" t="s">
        <v>522</v>
      </c>
      <c r="AT72" s="2">
        <v>560</v>
      </c>
      <c r="AU72" s="44" t="str">
        <f>VLOOKUP(flu_location[[#This Row],[trust_code]],trust_lookup[],3,0)</f>
        <v>Imperial</v>
      </c>
      <c r="AW72" s="2" t="s">
        <v>69</v>
      </c>
      <c r="AX72" s="2" t="s">
        <v>70</v>
      </c>
      <c r="AY72" s="2" t="s">
        <v>657</v>
      </c>
      <c r="AZ72" s="2">
        <v>751</v>
      </c>
      <c r="BA72" s="2">
        <v>302</v>
      </c>
      <c r="BB72" s="44" t="str">
        <f>VLOOKUP(age_group[[#This Row],[trust_code]],trust_lookup[],3,0)</f>
        <v>ELFT</v>
      </c>
    </row>
    <row r="73" spans="1:54" x14ac:dyDescent="0.35">
      <c r="A73" s="2" t="s">
        <v>518</v>
      </c>
      <c r="B73" s="2" t="s">
        <v>136</v>
      </c>
      <c r="C73" s="2" t="s">
        <v>137</v>
      </c>
      <c r="D73" s="2" t="s">
        <v>27</v>
      </c>
      <c r="E73" s="2" t="s">
        <v>46</v>
      </c>
      <c r="F73" s="2">
        <v>164</v>
      </c>
      <c r="G73" s="2">
        <v>48</v>
      </c>
      <c r="H73" s="14" t="str">
        <f>VLOOKUP(flu_group[[#This Row],[trust_code]],trust_lookup[],3,0)</f>
        <v>Moorfields</v>
      </c>
      <c r="I73" s="14" t="str">
        <f>VLOOKUP(flu_group[[#This Row],[trust_code]],trust_lookup[],4,0)</f>
        <v>Specialist</v>
      </c>
      <c r="K73" s="2" t="s">
        <v>518</v>
      </c>
      <c r="L73" s="2" t="s">
        <v>161</v>
      </c>
      <c r="M73" s="2" t="s">
        <v>162</v>
      </c>
      <c r="N73" s="2" t="s">
        <v>27</v>
      </c>
      <c r="O73" s="2" t="s">
        <v>68</v>
      </c>
      <c r="P73" s="2">
        <v>162</v>
      </c>
      <c r="R73" s="43">
        <v>45586</v>
      </c>
      <c r="S73" s="2">
        <v>43</v>
      </c>
      <c r="T73" s="2" t="s">
        <v>519</v>
      </c>
      <c r="U73" s="2" t="s">
        <v>25</v>
      </c>
      <c r="V73" s="2" t="s">
        <v>26</v>
      </c>
      <c r="W73" s="2" t="s">
        <v>27</v>
      </c>
      <c r="X73" s="23">
        <v>198</v>
      </c>
      <c r="Y73" s="23">
        <v>831</v>
      </c>
      <c r="Z73" s="23">
        <v>5870</v>
      </c>
      <c r="AA73" s="24">
        <v>0.141567291311754</v>
      </c>
      <c r="AB73" s="14" t="str">
        <f>VLOOKUP(flu_aw24[[#This Row],[trust_code]],trust_lookup[],3,0)</f>
        <v>CNWL</v>
      </c>
      <c r="AD73" s="43">
        <v>46048</v>
      </c>
      <c r="AE73" s="2">
        <v>5</v>
      </c>
      <c r="AF73" s="2" t="s">
        <v>518</v>
      </c>
      <c r="AG73" s="2" t="s">
        <v>170</v>
      </c>
      <c r="AH73" s="2" t="s">
        <v>171</v>
      </c>
      <c r="AI73" s="2" t="s">
        <v>194</v>
      </c>
      <c r="AJ73" s="23">
        <v>6</v>
      </c>
      <c r="AK73" s="23">
        <v>2834</v>
      </c>
      <c r="AL73" s="23">
        <v>6877</v>
      </c>
      <c r="AM73" s="24">
        <v>0.41209829867674802</v>
      </c>
      <c r="AN73" s="44" t="str">
        <f>VLOOKUP(flu_aw25[[#This Row],[trust_code]],trust_lookup[],3,0)</f>
        <v>St George's</v>
      </c>
      <c r="AP73" s="2" t="s">
        <v>101</v>
      </c>
      <c r="AQ73" s="2" t="s">
        <v>102</v>
      </c>
      <c r="AR73" s="2" t="s">
        <v>192</v>
      </c>
      <c r="AS73" s="2" t="s">
        <v>524</v>
      </c>
      <c r="AT73" s="2">
        <v>17</v>
      </c>
      <c r="AU73" s="44" t="str">
        <f>VLOOKUP(flu_location[[#This Row],[trust_code]],trust_lookup[],3,0)</f>
        <v>Imperial</v>
      </c>
      <c r="AW73" s="2" t="s">
        <v>69</v>
      </c>
      <c r="AX73" s="2" t="s">
        <v>70</v>
      </c>
      <c r="AY73" s="2" t="s">
        <v>658</v>
      </c>
      <c r="AZ73" s="2">
        <v>487</v>
      </c>
      <c r="BA73" s="2">
        <v>222</v>
      </c>
      <c r="BB73" s="44" t="str">
        <f>VLOOKUP(age_group[[#This Row],[trust_code]],trust_lookup[],3,0)</f>
        <v>ELFT</v>
      </c>
    </row>
    <row r="74" spans="1:54" x14ac:dyDescent="0.35">
      <c r="A74" s="2" t="s">
        <v>518</v>
      </c>
      <c r="B74" s="2" t="s">
        <v>25</v>
      </c>
      <c r="C74" s="2" t="s">
        <v>26</v>
      </c>
      <c r="D74" s="2" t="s">
        <v>192</v>
      </c>
      <c r="E74" s="2" t="s">
        <v>46</v>
      </c>
      <c r="F74" s="2">
        <v>92</v>
      </c>
      <c r="G74" s="2">
        <v>46</v>
      </c>
      <c r="H74" s="14" t="str">
        <f>VLOOKUP(flu_group[[#This Row],[trust_code]],trust_lookup[],3,0)</f>
        <v>CNWL</v>
      </c>
      <c r="I74" s="14" t="str">
        <f>VLOOKUP(flu_group[[#This Row],[trust_code]],trust_lookup[],4,0)</f>
        <v>Mental Health &amp; Community</v>
      </c>
      <c r="K74" s="2" t="s">
        <v>518</v>
      </c>
      <c r="L74" s="2" t="s">
        <v>161</v>
      </c>
      <c r="M74" s="2" t="s">
        <v>162</v>
      </c>
      <c r="N74" s="2" t="s">
        <v>27</v>
      </c>
      <c r="O74" s="2" t="s">
        <v>135</v>
      </c>
      <c r="P74" s="2">
        <v>6</v>
      </c>
      <c r="R74" s="43">
        <v>45593</v>
      </c>
      <c r="S74" s="2">
        <v>44</v>
      </c>
      <c r="T74" s="2" t="s">
        <v>519</v>
      </c>
      <c r="U74" s="2" t="s">
        <v>25</v>
      </c>
      <c r="V74" s="2" t="s">
        <v>26</v>
      </c>
      <c r="W74" s="2" t="s">
        <v>27</v>
      </c>
      <c r="X74" s="23">
        <v>150</v>
      </c>
      <c r="Y74" s="23">
        <v>981</v>
      </c>
      <c r="Z74" s="23">
        <v>5870</v>
      </c>
      <c r="AA74" s="24">
        <v>0.16712095400340701</v>
      </c>
      <c r="AB74" s="14" t="str">
        <f>VLOOKUP(flu_aw24[[#This Row],[trust_code]],trust_lookup[],3,0)</f>
        <v>CNWL</v>
      </c>
      <c r="AD74" s="43">
        <v>46055</v>
      </c>
      <c r="AE74" s="2">
        <v>6</v>
      </c>
      <c r="AF74" s="2" t="s">
        <v>518</v>
      </c>
      <c r="AG74" s="2" t="s">
        <v>170</v>
      </c>
      <c r="AH74" s="2" t="s">
        <v>171</v>
      </c>
      <c r="AI74" s="2" t="s">
        <v>194</v>
      </c>
      <c r="AJ74" s="23">
        <v>5</v>
      </c>
      <c r="AK74" s="23">
        <v>2839</v>
      </c>
      <c r="AL74" s="23">
        <v>6877</v>
      </c>
      <c r="AM74" s="24">
        <v>0.412825359895303</v>
      </c>
      <c r="AN74" s="44" t="str">
        <f>VLOOKUP(flu_aw25[[#This Row],[trust_code]],trust_lookup[],3,0)</f>
        <v>St George's</v>
      </c>
      <c r="AP74" s="2" t="s">
        <v>124</v>
      </c>
      <c r="AQ74" s="2" t="s">
        <v>125</v>
      </c>
      <c r="AR74" s="2" t="s">
        <v>192</v>
      </c>
      <c r="AS74" s="2" t="s">
        <v>520</v>
      </c>
      <c r="AT74" s="2">
        <v>152</v>
      </c>
      <c r="AU74" s="44" t="str">
        <f>VLOOKUP(flu_location[[#This Row],[trust_code]],trust_lookup[],3,0)</f>
        <v>LAS</v>
      </c>
      <c r="AW74" s="2" t="s">
        <v>69</v>
      </c>
      <c r="AX74" s="2" t="s">
        <v>70</v>
      </c>
      <c r="AY74" s="2" t="s">
        <v>659</v>
      </c>
      <c r="AZ74" s="2">
        <v>245</v>
      </c>
      <c r="BA74" s="2">
        <v>140</v>
      </c>
      <c r="BB74" s="44" t="str">
        <f>VLOOKUP(age_group[[#This Row],[trust_code]],trust_lookup[],3,0)</f>
        <v>ELFT</v>
      </c>
    </row>
    <row r="75" spans="1:54" x14ac:dyDescent="0.35">
      <c r="A75" s="2" t="s">
        <v>518</v>
      </c>
      <c r="B75" s="2" t="s">
        <v>55</v>
      </c>
      <c r="C75" s="2" t="s">
        <v>56</v>
      </c>
      <c r="D75" s="2" t="s">
        <v>192</v>
      </c>
      <c r="E75" s="2" t="s">
        <v>46</v>
      </c>
      <c r="F75" s="2">
        <v>308</v>
      </c>
      <c r="G75" s="2">
        <v>113</v>
      </c>
      <c r="H75" s="14" t="str">
        <f>VLOOKUP(flu_group[[#This Row],[trust_code]],trust_lookup[],3,0)</f>
        <v>ChelWest</v>
      </c>
      <c r="I75" s="14" t="str">
        <f>VLOOKUP(flu_group[[#This Row],[trust_code]],trust_lookup[],4,0)</f>
        <v>Acute</v>
      </c>
      <c r="K75" s="2" t="s">
        <v>518</v>
      </c>
      <c r="L75" s="2" t="s">
        <v>161</v>
      </c>
      <c r="M75" s="2" t="s">
        <v>162</v>
      </c>
      <c r="N75" s="2" t="s">
        <v>27</v>
      </c>
      <c r="O75" s="2" t="s">
        <v>54</v>
      </c>
      <c r="P75" s="2">
        <v>42</v>
      </c>
      <c r="R75" s="43">
        <v>45600</v>
      </c>
      <c r="S75" s="2">
        <v>45</v>
      </c>
      <c r="T75" s="2" t="s">
        <v>519</v>
      </c>
      <c r="U75" s="2" t="s">
        <v>25</v>
      </c>
      <c r="V75" s="2" t="s">
        <v>26</v>
      </c>
      <c r="W75" s="2" t="s">
        <v>27</v>
      </c>
      <c r="X75" s="23">
        <v>140</v>
      </c>
      <c r="Y75" s="23">
        <v>1121</v>
      </c>
      <c r="Z75" s="23">
        <v>5870</v>
      </c>
      <c r="AA75" s="24">
        <v>0.190971039182282</v>
      </c>
      <c r="AB75" s="14" t="str">
        <f>VLOOKUP(flu_aw24[[#This Row],[trust_code]],trust_lookup[],3,0)</f>
        <v>CNWL</v>
      </c>
      <c r="AD75" s="43">
        <v>46062</v>
      </c>
      <c r="AE75" s="2">
        <v>7</v>
      </c>
      <c r="AF75" s="2" t="s">
        <v>518</v>
      </c>
      <c r="AG75" s="2" t="s">
        <v>170</v>
      </c>
      <c r="AH75" s="2" t="s">
        <v>171</v>
      </c>
      <c r="AI75" s="2" t="s">
        <v>194</v>
      </c>
      <c r="AJ75" s="23">
        <v>1</v>
      </c>
      <c r="AK75" s="23">
        <v>2840</v>
      </c>
      <c r="AL75" s="23">
        <v>6877</v>
      </c>
      <c r="AM75" s="24">
        <v>0.41297077213901401</v>
      </c>
      <c r="AN75" s="44" t="str">
        <f>VLOOKUP(flu_aw25[[#This Row],[trust_code]],trust_lookup[],3,0)</f>
        <v>St George's</v>
      </c>
      <c r="AP75" s="2" t="s">
        <v>124</v>
      </c>
      <c r="AQ75" s="2" t="s">
        <v>125</v>
      </c>
      <c r="AR75" s="2" t="s">
        <v>192</v>
      </c>
      <c r="AS75" s="2" t="s">
        <v>521</v>
      </c>
      <c r="AT75" s="2">
        <v>1517</v>
      </c>
      <c r="AU75" s="44" t="str">
        <f>VLOOKUP(flu_location[[#This Row],[trust_code]],trust_lookup[],3,0)</f>
        <v>LAS</v>
      </c>
      <c r="AW75" s="2" t="s">
        <v>76</v>
      </c>
      <c r="AX75" s="2" t="s">
        <v>77</v>
      </c>
      <c r="AY75" s="2" t="s">
        <v>650</v>
      </c>
      <c r="AZ75" s="2">
        <v>221</v>
      </c>
      <c r="BA75" s="2">
        <v>62</v>
      </c>
      <c r="BB75" s="44" t="str">
        <f>VLOOKUP(age_group[[#This Row],[trust_code]],trust_lookup[],3,0)</f>
        <v>Epsom</v>
      </c>
    </row>
    <row r="76" spans="1:54" x14ac:dyDescent="0.35">
      <c r="A76" s="2" t="s">
        <v>518</v>
      </c>
      <c r="B76" s="2" t="s">
        <v>142</v>
      </c>
      <c r="C76" s="2" t="s">
        <v>143</v>
      </c>
      <c r="D76" s="2" t="s">
        <v>190</v>
      </c>
      <c r="E76" s="2" t="s">
        <v>46</v>
      </c>
      <c r="F76" s="2">
        <v>198</v>
      </c>
      <c r="G76" s="2">
        <v>65</v>
      </c>
      <c r="H76" s="14" t="str">
        <f>VLOOKUP(flu_group[[#This Row],[trust_code]],trust_lookup[],3,0)</f>
        <v>NELFT</v>
      </c>
      <c r="I76" s="14" t="str">
        <f>VLOOKUP(flu_group[[#This Row],[trust_code]],trust_lookup[],4,0)</f>
        <v>Mental Health &amp; Community</v>
      </c>
      <c r="K76" s="2" t="s">
        <v>518</v>
      </c>
      <c r="L76" s="2" t="s">
        <v>161</v>
      </c>
      <c r="M76" s="2" t="s">
        <v>162</v>
      </c>
      <c r="N76" s="2" t="s">
        <v>27</v>
      </c>
      <c r="O76" s="2" t="s">
        <v>129</v>
      </c>
      <c r="P76" s="2">
        <v>1</v>
      </c>
      <c r="R76" s="43">
        <v>45607</v>
      </c>
      <c r="S76" s="2">
        <v>46</v>
      </c>
      <c r="T76" s="2" t="s">
        <v>519</v>
      </c>
      <c r="U76" s="2" t="s">
        <v>25</v>
      </c>
      <c r="V76" s="2" t="s">
        <v>26</v>
      </c>
      <c r="W76" s="2" t="s">
        <v>27</v>
      </c>
      <c r="X76" s="23">
        <v>126</v>
      </c>
      <c r="Y76" s="23">
        <v>1247</v>
      </c>
      <c r="Z76" s="23">
        <v>5870</v>
      </c>
      <c r="AA76" s="24">
        <v>0.21243611584326999</v>
      </c>
      <c r="AB76" s="14" t="str">
        <f>VLOOKUP(flu_aw24[[#This Row],[trust_code]],trust_lookup[],3,0)</f>
        <v>CNWL</v>
      </c>
      <c r="AD76" s="43">
        <v>46076</v>
      </c>
      <c r="AE76" s="2">
        <v>9</v>
      </c>
      <c r="AF76" s="2" t="s">
        <v>518</v>
      </c>
      <c r="AG76" s="2" t="s">
        <v>170</v>
      </c>
      <c r="AH76" s="2" t="s">
        <v>171</v>
      </c>
      <c r="AI76" s="2" t="s">
        <v>194</v>
      </c>
      <c r="AJ76" s="23">
        <v>6</v>
      </c>
      <c r="AK76" s="23">
        <v>2846</v>
      </c>
      <c r="AL76" s="23">
        <v>6877</v>
      </c>
      <c r="AM76" s="24">
        <v>0.413843245601279</v>
      </c>
      <c r="AN76" s="44" t="str">
        <f>VLOOKUP(flu_aw25[[#This Row],[trust_code]],trust_lookup[],3,0)</f>
        <v>St George's</v>
      </c>
      <c r="AP76" s="2" t="s">
        <v>124</v>
      </c>
      <c r="AQ76" s="2" t="s">
        <v>125</v>
      </c>
      <c r="AR76" s="2" t="s">
        <v>192</v>
      </c>
      <c r="AS76" s="2" t="s">
        <v>522</v>
      </c>
      <c r="AT76" s="2">
        <v>201</v>
      </c>
      <c r="AU76" s="44" t="str">
        <f>VLOOKUP(flu_location[[#This Row],[trust_code]],trust_lookup[],3,0)</f>
        <v>LAS</v>
      </c>
      <c r="AW76" s="2" t="s">
        <v>76</v>
      </c>
      <c r="AX76" s="2" t="s">
        <v>77</v>
      </c>
      <c r="AY76" s="2" t="s">
        <v>651</v>
      </c>
      <c r="AZ76" s="2">
        <v>539</v>
      </c>
      <c r="BA76" s="2">
        <v>200</v>
      </c>
      <c r="BB76" s="44" t="str">
        <f>VLOOKUP(age_group[[#This Row],[trust_code]],trust_lookup[],3,0)</f>
        <v>Epsom</v>
      </c>
    </row>
    <row r="77" spans="1:54" x14ac:dyDescent="0.35">
      <c r="A77" s="2" t="s">
        <v>518</v>
      </c>
      <c r="B77" s="2" t="s">
        <v>76</v>
      </c>
      <c r="C77" s="2" t="s">
        <v>77</v>
      </c>
      <c r="D77" s="2" t="s">
        <v>194</v>
      </c>
      <c r="E77" s="2" t="s">
        <v>46</v>
      </c>
      <c r="F77" s="2">
        <v>96</v>
      </c>
      <c r="G77" s="2">
        <v>33</v>
      </c>
      <c r="H77" s="14" t="str">
        <f>VLOOKUP(flu_group[[#This Row],[trust_code]],trust_lookup[],3,0)</f>
        <v>Epsom</v>
      </c>
      <c r="I77" s="14" t="str">
        <f>VLOOKUP(flu_group[[#This Row],[trust_code]],trust_lookup[],4,0)</f>
        <v>Acute</v>
      </c>
      <c r="K77" s="2" t="s">
        <v>518</v>
      </c>
      <c r="L77" s="2" t="s">
        <v>161</v>
      </c>
      <c r="M77" s="2" t="s">
        <v>162</v>
      </c>
      <c r="N77" s="2" t="s">
        <v>27</v>
      </c>
      <c r="O77" s="2" t="s">
        <v>47</v>
      </c>
      <c r="P77" s="2">
        <v>5</v>
      </c>
      <c r="R77" s="43">
        <v>45614</v>
      </c>
      <c r="S77" s="2">
        <v>47</v>
      </c>
      <c r="T77" s="2" t="s">
        <v>519</v>
      </c>
      <c r="U77" s="2" t="s">
        <v>25</v>
      </c>
      <c r="V77" s="2" t="s">
        <v>26</v>
      </c>
      <c r="W77" s="2" t="s">
        <v>27</v>
      </c>
      <c r="X77" s="23">
        <v>124</v>
      </c>
      <c r="Y77" s="23">
        <v>1371</v>
      </c>
      <c r="Z77" s="23">
        <v>5870</v>
      </c>
      <c r="AA77" s="24">
        <v>0.23356047700170299</v>
      </c>
      <c r="AB77" s="14" t="str">
        <f>VLOOKUP(flu_aw24[[#This Row],[trust_code]],trust_lookup[],3,0)</f>
        <v>CNWL</v>
      </c>
      <c r="AD77" s="43">
        <v>45901</v>
      </c>
      <c r="AE77" s="2">
        <v>36</v>
      </c>
      <c r="AF77" s="2" t="s">
        <v>518</v>
      </c>
      <c r="AG77" s="2" t="s">
        <v>118</v>
      </c>
      <c r="AH77" s="2" t="s">
        <v>119</v>
      </c>
      <c r="AI77" s="2" t="s">
        <v>193</v>
      </c>
      <c r="AJ77" s="23">
        <v>2</v>
      </c>
      <c r="AK77" s="23">
        <v>2</v>
      </c>
      <c r="AL77" s="23">
        <v>6569</v>
      </c>
      <c r="AM77" s="24">
        <v>3.0446034404018799E-4</v>
      </c>
      <c r="AN77" s="44" t="str">
        <f>VLOOKUP(flu_aw25[[#This Row],[trust_code]],trust_lookup[],3,0)</f>
        <v>L&amp;G</v>
      </c>
      <c r="AP77" s="2" t="s">
        <v>124</v>
      </c>
      <c r="AQ77" s="2" t="s">
        <v>125</v>
      </c>
      <c r="AR77" s="2" t="s">
        <v>192</v>
      </c>
      <c r="AS77" s="2" t="s">
        <v>523</v>
      </c>
      <c r="AT77" s="2">
        <v>1</v>
      </c>
      <c r="AU77" s="44" t="str">
        <f>VLOOKUP(flu_location[[#This Row],[trust_code]],trust_lookup[],3,0)</f>
        <v>LAS</v>
      </c>
      <c r="AW77" s="2" t="s">
        <v>76</v>
      </c>
      <c r="AX77" s="2" t="s">
        <v>77</v>
      </c>
      <c r="AY77" s="2" t="s">
        <v>652</v>
      </c>
      <c r="AZ77" s="2">
        <v>669</v>
      </c>
      <c r="BA77" s="2">
        <v>254</v>
      </c>
      <c r="BB77" s="44" t="str">
        <f>VLOOKUP(age_group[[#This Row],[trust_code]],trust_lookup[],3,0)</f>
        <v>Epsom</v>
      </c>
    </row>
    <row r="78" spans="1:54" x14ac:dyDescent="0.35">
      <c r="A78" s="2" t="s">
        <v>518</v>
      </c>
      <c r="B78" s="2" t="s">
        <v>157</v>
      </c>
      <c r="C78" s="2" t="s">
        <v>158</v>
      </c>
      <c r="D78" s="2" t="s">
        <v>27</v>
      </c>
      <c r="E78" s="2" t="s">
        <v>46</v>
      </c>
      <c r="F78" s="2">
        <v>1635</v>
      </c>
      <c r="G78" s="2">
        <v>479</v>
      </c>
      <c r="H78" s="14" t="str">
        <f>VLOOKUP(flu_group[[#This Row],[trust_code]],trust_lookup[],3,0)</f>
        <v>Royal Free</v>
      </c>
      <c r="I78" s="14" t="str">
        <f>VLOOKUP(flu_group[[#This Row],[trust_code]],trust_lookup[],4,0)</f>
        <v>Acute</v>
      </c>
      <c r="K78" s="2" t="s">
        <v>518</v>
      </c>
      <c r="L78" s="2" t="s">
        <v>161</v>
      </c>
      <c r="M78" s="2" t="s">
        <v>162</v>
      </c>
      <c r="N78" s="2" t="s">
        <v>27</v>
      </c>
      <c r="O78" s="2" t="s">
        <v>94</v>
      </c>
      <c r="P78" s="2">
        <v>5</v>
      </c>
      <c r="R78" s="43">
        <v>45621</v>
      </c>
      <c r="S78" s="2">
        <v>48</v>
      </c>
      <c r="T78" s="2" t="s">
        <v>519</v>
      </c>
      <c r="U78" s="2" t="s">
        <v>25</v>
      </c>
      <c r="V78" s="2" t="s">
        <v>26</v>
      </c>
      <c r="W78" s="2" t="s">
        <v>27</v>
      </c>
      <c r="X78" s="23">
        <v>72</v>
      </c>
      <c r="Y78" s="23">
        <v>1443</v>
      </c>
      <c r="Z78" s="23">
        <v>5870</v>
      </c>
      <c r="AA78" s="24">
        <v>0.245826235093696</v>
      </c>
      <c r="AB78" s="14" t="str">
        <f>VLOOKUP(flu_aw24[[#This Row],[trust_code]],trust_lookup[],3,0)</f>
        <v>CNWL</v>
      </c>
      <c r="AD78" s="43">
        <v>45908</v>
      </c>
      <c r="AE78" s="2">
        <v>37</v>
      </c>
      <c r="AF78" s="2" t="s">
        <v>518</v>
      </c>
      <c r="AG78" s="2" t="s">
        <v>118</v>
      </c>
      <c r="AH78" s="2" t="s">
        <v>119</v>
      </c>
      <c r="AI78" s="2" t="s">
        <v>193</v>
      </c>
      <c r="AJ78" s="23">
        <v>1</v>
      </c>
      <c r="AK78" s="23">
        <v>3</v>
      </c>
      <c r="AL78" s="23">
        <v>6569</v>
      </c>
      <c r="AM78" s="24">
        <v>4.5669051606028299E-4</v>
      </c>
      <c r="AN78" s="44" t="str">
        <f>VLOOKUP(flu_aw25[[#This Row],[trust_code]],trust_lookup[],3,0)</f>
        <v>L&amp;G</v>
      </c>
      <c r="AP78" s="2" t="s">
        <v>124</v>
      </c>
      <c r="AQ78" s="2" t="s">
        <v>125</v>
      </c>
      <c r="AR78" s="2" t="s">
        <v>192</v>
      </c>
      <c r="AS78" s="2" t="s">
        <v>524</v>
      </c>
      <c r="AT78" s="2">
        <v>2</v>
      </c>
      <c r="AU78" s="44" t="str">
        <f>VLOOKUP(flu_location[[#This Row],[trust_code]],trust_lookup[],3,0)</f>
        <v>LAS</v>
      </c>
      <c r="AW78" s="2" t="s">
        <v>76</v>
      </c>
      <c r="AX78" s="2" t="s">
        <v>77</v>
      </c>
      <c r="AY78" s="2" t="s">
        <v>653</v>
      </c>
      <c r="AZ78" s="2">
        <v>759</v>
      </c>
      <c r="BA78" s="2">
        <v>316</v>
      </c>
      <c r="BB78" s="44" t="str">
        <f>VLOOKUP(age_group[[#This Row],[trust_code]],trust_lookup[],3,0)</f>
        <v>Epsom</v>
      </c>
    </row>
    <row r="79" spans="1:54" x14ac:dyDescent="0.35">
      <c r="A79" s="2" t="s">
        <v>518</v>
      </c>
      <c r="B79" s="2" t="s">
        <v>185</v>
      </c>
      <c r="C79" s="2" t="s">
        <v>186</v>
      </c>
      <c r="D79" s="2" t="s">
        <v>27</v>
      </c>
      <c r="E79" s="2" t="s">
        <v>46</v>
      </c>
      <c r="F79" s="2">
        <v>1</v>
      </c>
      <c r="G79" s="2">
        <v>1</v>
      </c>
      <c r="H79" s="14" t="str">
        <f>VLOOKUP(flu_group[[#This Row],[trust_code]],trust_lookup[],3,0)</f>
        <v>Whittington</v>
      </c>
      <c r="I79" s="14" t="str">
        <f>VLOOKUP(flu_group[[#This Row],[trust_code]],trust_lookup[],4,0)</f>
        <v>Acute &amp; Community</v>
      </c>
      <c r="K79" s="2" t="s">
        <v>518</v>
      </c>
      <c r="L79" s="2" t="s">
        <v>161</v>
      </c>
      <c r="M79" s="2" t="s">
        <v>162</v>
      </c>
      <c r="N79" s="2" t="s">
        <v>27</v>
      </c>
      <c r="O79" s="2" t="s">
        <v>29</v>
      </c>
      <c r="P79" s="2">
        <v>5</v>
      </c>
      <c r="R79" s="43">
        <v>45628</v>
      </c>
      <c r="S79" s="2">
        <v>49</v>
      </c>
      <c r="T79" s="2" t="s">
        <v>519</v>
      </c>
      <c r="U79" s="2" t="s">
        <v>25</v>
      </c>
      <c r="V79" s="2" t="s">
        <v>26</v>
      </c>
      <c r="W79" s="2" t="s">
        <v>27</v>
      </c>
      <c r="X79" s="23">
        <v>69</v>
      </c>
      <c r="Y79" s="23">
        <v>1512</v>
      </c>
      <c r="Z79" s="23">
        <v>5870</v>
      </c>
      <c r="AA79" s="24">
        <v>0.257580919931856</v>
      </c>
      <c r="AB79" s="14" t="str">
        <f>VLOOKUP(flu_aw24[[#This Row],[trust_code]],trust_lookup[],3,0)</f>
        <v>CNWL</v>
      </c>
      <c r="AD79" s="43">
        <v>45922</v>
      </c>
      <c r="AE79" s="2">
        <v>39</v>
      </c>
      <c r="AF79" s="2" t="s">
        <v>518</v>
      </c>
      <c r="AG79" s="2" t="s">
        <v>118</v>
      </c>
      <c r="AH79" s="2" t="s">
        <v>119</v>
      </c>
      <c r="AI79" s="2" t="s">
        <v>193</v>
      </c>
      <c r="AJ79" s="23">
        <v>1</v>
      </c>
      <c r="AK79" s="23">
        <v>4</v>
      </c>
      <c r="AL79" s="23">
        <v>6569</v>
      </c>
      <c r="AM79" s="24">
        <v>6.0892068808037695E-4</v>
      </c>
      <c r="AN79" s="44" t="str">
        <f>VLOOKUP(flu_aw25[[#This Row],[trust_code]],trust_lookup[],3,0)</f>
        <v>L&amp;G</v>
      </c>
      <c r="AP79" s="2" t="s">
        <v>130</v>
      </c>
      <c r="AQ79" s="2" t="s">
        <v>131</v>
      </c>
      <c r="AR79" s="2" t="s">
        <v>192</v>
      </c>
      <c r="AS79" s="2" t="s">
        <v>520</v>
      </c>
      <c r="AT79" s="2">
        <v>175</v>
      </c>
      <c r="AU79" s="44" t="str">
        <f>VLOOKUP(flu_location[[#This Row],[trust_code]],trust_lookup[],3,0)</f>
        <v>LNW</v>
      </c>
      <c r="AW79" s="2" t="s">
        <v>76</v>
      </c>
      <c r="AX79" s="2" t="s">
        <v>77</v>
      </c>
      <c r="AY79" s="2" t="s">
        <v>654</v>
      </c>
      <c r="AZ79" s="2">
        <v>704</v>
      </c>
      <c r="BA79" s="2">
        <v>271</v>
      </c>
      <c r="BB79" s="44" t="str">
        <f>VLOOKUP(age_group[[#This Row],[trust_code]],trust_lookup[],3,0)</f>
        <v>Epsom</v>
      </c>
    </row>
    <row r="80" spans="1:54" x14ac:dyDescent="0.35">
      <c r="A80" s="2" t="s">
        <v>518</v>
      </c>
      <c r="B80" s="2" t="s">
        <v>179</v>
      </c>
      <c r="C80" s="2" t="s">
        <v>180</v>
      </c>
      <c r="D80" s="2" t="s">
        <v>194</v>
      </c>
      <c r="E80" s="2" t="s">
        <v>46</v>
      </c>
      <c r="F80" s="2">
        <v>51</v>
      </c>
      <c r="G80" s="2">
        <v>30</v>
      </c>
      <c r="H80" s="14" t="str">
        <f>VLOOKUP(flu_group[[#This Row],[trust_code]],trust_lookup[],3,0)</f>
        <v>Marsden</v>
      </c>
      <c r="I80" s="14" t="str">
        <f>VLOOKUP(flu_group[[#This Row],[trust_code]],trust_lookup[],4,0)</f>
        <v>Specialist</v>
      </c>
      <c r="K80" s="2" t="s">
        <v>518</v>
      </c>
      <c r="L80" s="2" t="s">
        <v>161</v>
      </c>
      <c r="M80" s="2" t="s">
        <v>162</v>
      </c>
      <c r="N80" s="2" t="s">
        <v>27</v>
      </c>
      <c r="O80" s="2" t="s">
        <v>123</v>
      </c>
      <c r="P80" s="2">
        <v>60</v>
      </c>
      <c r="R80" s="43">
        <v>45635</v>
      </c>
      <c r="S80" s="2">
        <v>50</v>
      </c>
      <c r="T80" s="2" t="s">
        <v>519</v>
      </c>
      <c r="U80" s="2" t="s">
        <v>25</v>
      </c>
      <c r="V80" s="2" t="s">
        <v>26</v>
      </c>
      <c r="W80" s="2" t="s">
        <v>27</v>
      </c>
      <c r="X80" s="23">
        <v>74</v>
      </c>
      <c r="Y80" s="23">
        <v>1586</v>
      </c>
      <c r="Z80" s="23">
        <v>5870</v>
      </c>
      <c r="AA80" s="24">
        <v>0.27018739352640497</v>
      </c>
      <c r="AB80" s="14" t="str">
        <f>VLOOKUP(flu_aw24[[#This Row],[trust_code]],trust_lookup[],3,0)</f>
        <v>CNWL</v>
      </c>
      <c r="AD80" s="43">
        <v>45929</v>
      </c>
      <c r="AE80" s="2">
        <v>40</v>
      </c>
      <c r="AF80" s="2" t="s">
        <v>518</v>
      </c>
      <c r="AG80" s="2" t="s">
        <v>118</v>
      </c>
      <c r="AH80" s="2" t="s">
        <v>119</v>
      </c>
      <c r="AI80" s="2" t="s">
        <v>193</v>
      </c>
      <c r="AJ80" s="23">
        <v>380</v>
      </c>
      <c r="AK80" s="23">
        <v>384</v>
      </c>
      <c r="AL80" s="23">
        <v>6569</v>
      </c>
      <c r="AM80" s="24">
        <v>5.8456386055716202E-2</v>
      </c>
      <c r="AN80" s="44" t="str">
        <f>VLOOKUP(flu_aw25[[#This Row],[trust_code]],trust_lookup[],3,0)</f>
        <v>L&amp;G</v>
      </c>
      <c r="AP80" s="2" t="s">
        <v>130</v>
      </c>
      <c r="AQ80" s="2" t="s">
        <v>131</v>
      </c>
      <c r="AR80" s="2" t="s">
        <v>192</v>
      </c>
      <c r="AS80" s="2" t="s">
        <v>521</v>
      </c>
      <c r="AT80" s="2">
        <v>1496</v>
      </c>
      <c r="AU80" s="44" t="str">
        <f>VLOOKUP(flu_location[[#This Row],[trust_code]],trust_lookup[],3,0)</f>
        <v>LNW</v>
      </c>
      <c r="AW80" s="2" t="s">
        <v>76</v>
      </c>
      <c r="AX80" s="2" t="s">
        <v>77</v>
      </c>
      <c r="AY80" s="2" t="s">
        <v>655</v>
      </c>
      <c r="AZ80" s="2">
        <v>782</v>
      </c>
      <c r="BA80" s="2">
        <v>319</v>
      </c>
      <c r="BB80" s="44" t="str">
        <f>VLOOKUP(age_group[[#This Row],[trust_code]],trust_lookup[],3,0)</f>
        <v>Epsom</v>
      </c>
    </row>
    <row r="81" spans="1:54" x14ac:dyDescent="0.35">
      <c r="A81" s="2" t="s">
        <v>518</v>
      </c>
      <c r="B81" s="2" t="s">
        <v>170</v>
      </c>
      <c r="C81" s="2" t="s">
        <v>171</v>
      </c>
      <c r="D81" s="2" t="s">
        <v>194</v>
      </c>
      <c r="E81" s="2" t="s">
        <v>46</v>
      </c>
      <c r="F81" s="2">
        <v>319</v>
      </c>
      <c r="G81" s="2">
        <v>91</v>
      </c>
      <c r="H81" s="14" t="str">
        <f>VLOOKUP(flu_group[[#This Row],[trust_code]],trust_lookup[],3,0)</f>
        <v>St George's</v>
      </c>
      <c r="I81" s="14" t="str">
        <f>VLOOKUP(flu_group[[#This Row],[trust_code]],trust_lookup[],4,0)</f>
        <v>Acute</v>
      </c>
      <c r="K81" s="2" t="s">
        <v>518</v>
      </c>
      <c r="L81" s="2" t="s">
        <v>161</v>
      </c>
      <c r="M81" s="2" t="s">
        <v>162</v>
      </c>
      <c r="N81" s="2" t="s">
        <v>27</v>
      </c>
      <c r="O81" s="2" t="s">
        <v>82</v>
      </c>
      <c r="P81" s="2">
        <v>13</v>
      </c>
      <c r="R81" s="43">
        <v>45642</v>
      </c>
      <c r="S81" s="2">
        <v>51</v>
      </c>
      <c r="T81" s="2" t="s">
        <v>519</v>
      </c>
      <c r="U81" s="2" t="s">
        <v>25</v>
      </c>
      <c r="V81" s="2" t="s">
        <v>26</v>
      </c>
      <c r="W81" s="2" t="s">
        <v>27</v>
      </c>
      <c r="X81" s="23">
        <v>34</v>
      </c>
      <c r="Y81" s="23">
        <v>1620</v>
      </c>
      <c r="Z81" s="23">
        <v>5870</v>
      </c>
      <c r="AA81" s="24">
        <v>0.275979557069846</v>
      </c>
      <c r="AB81" s="14" t="str">
        <f>VLOOKUP(flu_aw24[[#This Row],[trust_code]],trust_lookup[],3,0)</f>
        <v>CNWL</v>
      </c>
      <c r="AD81" s="43">
        <v>45936</v>
      </c>
      <c r="AE81" s="2">
        <v>41</v>
      </c>
      <c r="AF81" s="2" t="s">
        <v>518</v>
      </c>
      <c r="AG81" s="2" t="s">
        <v>118</v>
      </c>
      <c r="AH81" s="2" t="s">
        <v>119</v>
      </c>
      <c r="AI81" s="2" t="s">
        <v>193</v>
      </c>
      <c r="AJ81" s="23">
        <v>341</v>
      </c>
      <c r="AK81" s="23">
        <v>725</v>
      </c>
      <c r="AL81" s="23">
        <v>6569</v>
      </c>
      <c r="AM81" s="24">
        <v>0.11036687471456801</v>
      </c>
      <c r="AN81" s="44" t="str">
        <f>VLOOKUP(flu_aw25[[#This Row],[trust_code]],trust_lookup[],3,0)</f>
        <v>L&amp;G</v>
      </c>
      <c r="AP81" s="2" t="s">
        <v>130</v>
      </c>
      <c r="AQ81" s="2" t="s">
        <v>131</v>
      </c>
      <c r="AR81" s="2" t="s">
        <v>192</v>
      </c>
      <c r="AS81" s="2" t="s">
        <v>522</v>
      </c>
      <c r="AT81" s="2">
        <v>119</v>
      </c>
      <c r="AU81" s="44" t="str">
        <f>VLOOKUP(flu_location[[#This Row],[trust_code]],trust_lookup[],3,0)</f>
        <v>LNW</v>
      </c>
      <c r="AW81" s="2" t="s">
        <v>76</v>
      </c>
      <c r="AX81" s="2" t="s">
        <v>77</v>
      </c>
      <c r="AY81" s="2" t="s">
        <v>656</v>
      </c>
      <c r="AZ81" s="2">
        <v>833</v>
      </c>
      <c r="BA81" s="2">
        <v>377</v>
      </c>
      <c r="BB81" s="44" t="str">
        <f>VLOOKUP(age_group[[#This Row],[trust_code]],trust_lookup[],3,0)</f>
        <v>Epsom</v>
      </c>
    </row>
    <row r="82" spans="1:54" x14ac:dyDescent="0.35">
      <c r="A82" s="2" t="s">
        <v>518</v>
      </c>
      <c r="B82" s="2" t="s">
        <v>69</v>
      </c>
      <c r="C82" s="2" t="s">
        <v>70</v>
      </c>
      <c r="D82" s="2" t="s">
        <v>190</v>
      </c>
      <c r="E82" s="2" t="s">
        <v>46</v>
      </c>
      <c r="F82" s="2">
        <v>24</v>
      </c>
      <c r="G82" s="2">
        <v>10</v>
      </c>
      <c r="H82" s="14" t="str">
        <f>VLOOKUP(flu_group[[#This Row],[trust_code]],trust_lookup[],3,0)</f>
        <v>ELFT</v>
      </c>
      <c r="I82" s="14" t="str">
        <f>VLOOKUP(flu_group[[#This Row],[trust_code]],trust_lookup[],4,0)</f>
        <v>Mental Health &amp; Community</v>
      </c>
      <c r="K82" s="2" t="s">
        <v>518</v>
      </c>
      <c r="L82" s="2" t="s">
        <v>161</v>
      </c>
      <c r="M82" s="2" t="s">
        <v>162</v>
      </c>
      <c r="N82" s="2" t="s">
        <v>27</v>
      </c>
      <c r="O82" s="2" t="s">
        <v>88</v>
      </c>
      <c r="P82" s="2">
        <v>2</v>
      </c>
      <c r="R82" s="43">
        <v>45649</v>
      </c>
      <c r="S82" s="2">
        <v>52</v>
      </c>
      <c r="T82" s="2" t="s">
        <v>519</v>
      </c>
      <c r="U82" s="2" t="s">
        <v>25</v>
      </c>
      <c r="V82" s="2" t="s">
        <v>26</v>
      </c>
      <c r="W82" s="2" t="s">
        <v>27</v>
      </c>
      <c r="X82" s="23">
        <v>6</v>
      </c>
      <c r="Y82" s="23">
        <v>1626</v>
      </c>
      <c r="Z82" s="23">
        <v>5870</v>
      </c>
      <c r="AA82" s="24">
        <v>0.27700170357751203</v>
      </c>
      <c r="AB82" s="14" t="str">
        <f>VLOOKUP(flu_aw24[[#This Row],[trust_code]],trust_lookup[],3,0)</f>
        <v>CNWL</v>
      </c>
      <c r="AD82" s="43">
        <v>45943</v>
      </c>
      <c r="AE82" s="2">
        <v>42</v>
      </c>
      <c r="AF82" s="2" t="s">
        <v>518</v>
      </c>
      <c r="AG82" s="2" t="s">
        <v>118</v>
      </c>
      <c r="AH82" s="2" t="s">
        <v>119</v>
      </c>
      <c r="AI82" s="2" t="s">
        <v>193</v>
      </c>
      <c r="AJ82" s="23">
        <v>404</v>
      </c>
      <c r="AK82" s="23">
        <v>1129</v>
      </c>
      <c r="AL82" s="23">
        <v>6569</v>
      </c>
      <c r="AM82" s="24">
        <v>0.17186786421068601</v>
      </c>
      <c r="AN82" s="44" t="str">
        <f>VLOOKUP(flu_aw25[[#This Row],[trust_code]],trust_lookup[],3,0)</f>
        <v>L&amp;G</v>
      </c>
      <c r="AP82" s="2" t="s">
        <v>130</v>
      </c>
      <c r="AQ82" s="2" t="s">
        <v>131</v>
      </c>
      <c r="AR82" s="2" t="s">
        <v>192</v>
      </c>
      <c r="AS82" s="2" t="s">
        <v>524</v>
      </c>
      <c r="AT82" s="2">
        <v>4</v>
      </c>
      <c r="AU82" s="44" t="str">
        <f>VLOOKUP(flu_location[[#This Row],[trust_code]],trust_lookup[],3,0)</f>
        <v>LNW</v>
      </c>
      <c r="AW82" s="2" t="s">
        <v>76</v>
      </c>
      <c r="AX82" s="2" t="s">
        <v>77</v>
      </c>
      <c r="AY82" s="2" t="s">
        <v>657</v>
      </c>
      <c r="AZ82" s="2">
        <v>676</v>
      </c>
      <c r="BA82" s="2">
        <v>328</v>
      </c>
      <c r="BB82" s="44" t="str">
        <f>VLOOKUP(age_group[[#This Row],[trust_code]],trust_lookup[],3,0)</f>
        <v>Epsom</v>
      </c>
    </row>
    <row r="83" spans="1:54" x14ac:dyDescent="0.35">
      <c r="A83" s="2" t="s">
        <v>518</v>
      </c>
      <c r="B83" s="2" t="s">
        <v>124</v>
      </c>
      <c r="C83" s="2" t="s">
        <v>125</v>
      </c>
      <c r="D83" s="2" t="s">
        <v>192</v>
      </c>
      <c r="E83" s="2" t="s">
        <v>46</v>
      </c>
      <c r="F83" s="2">
        <v>43</v>
      </c>
      <c r="G83" s="2">
        <v>26</v>
      </c>
      <c r="H83" s="14" t="str">
        <f>VLOOKUP(flu_group[[#This Row],[trust_code]],trust_lookup[],3,0)</f>
        <v>LAS</v>
      </c>
      <c r="I83" s="14" t="str">
        <f>VLOOKUP(flu_group[[#This Row],[trust_code]],trust_lookup[],4,0)</f>
        <v>Ambulance</v>
      </c>
      <c r="K83" s="2" t="s">
        <v>518</v>
      </c>
      <c r="L83" s="2" t="s">
        <v>161</v>
      </c>
      <c r="M83" s="2" t="s">
        <v>162</v>
      </c>
      <c r="N83" s="2" t="s">
        <v>27</v>
      </c>
      <c r="O83" s="2" t="s">
        <v>141</v>
      </c>
      <c r="P83" s="2">
        <v>53</v>
      </c>
      <c r="R83" s="43">
        <v>45656</v>
      </c>
      <c r="S83" s="2">
        <v>1</v>
      </c>
      <c r="T83" s="2" t="s">
        <v>519</v>
      </c>
      <c r="U83" s="2" t="s">
        <v>25</v>
      </c>
      <c r="V83" s="2" t="s">
        <v>26</v>
      </c>
      <c r="W83" s="2" t="s">
        <v>27</v>
      </c>
      <c r="X83" s="23">
        <v>8</v>
      </c>
      <c r="Y83" s="23">
        <v>1634</v>
      </c>
      <c r="Z83" s="23">
        <v>5870</v>
      </c>
      <c r="AA83" s="24">
        <v>0.27836456558773398</v>
      </c>
      <c r="AB83" s="14" t="str">
        <f>VLOOKUP(flu_aw24[[#This Row],[trust_code]],trust_lookup[],3,0)</f>
        <v>CNWL</v>
      </c>
      <c r="AD83" s="43">
        <v>45950</v>
      </c>
      <c r="AE83" s="2">
        <v>43</v>
      </c>
      <c r="AF83" s="2" t="s">
        <v>518</v>
      </c>
      <c r="AG83" s="2" t="s">
        <v>118</v>
      </c>
      <c r="AH83" s="2" t="s">
        <v>119</v>
      </c>
      <c r="AI83" s="2" t="s">
        <v>193</v>
      </c>
      <c r="AJ83" s="23">
        <v>243</v>
      </c>
      <c r="AK83" s="23">
        <v>1372</v>
      </c>
      <c r="AL83" s="23">
        <v>6569</v>
      </c>
      <c r="AM83" s="24">
        <v>0.20885979601156901</v>
      </c>
      <c r="AN83" s="44" t="str">
        <f>VLOOKUP(flu_aw25[[#This Row],[trust_code]],trust_lookup[],3,0)</f>
        <v>L&amp;G</v>
      </c>
      <c r="AP83" s="2" t="s">
        <v>176</v>
      </c>
      <c r="AQ83" s="2" t="s">
        <v>177</v>
      </c>
      <c r="AR83" s="2" t="s">
        <v>192</v>
      </c>
      <c r="AS83" s="2" t="s">
        <v>520</v>
      </c>
      <c r="AT83" s="2">
        <v>201</v>
      </c>
      <c r="AU83" s="44" t="str">
        <f>VLOOKUP(flu_location[[#This Row],[trust_code]],trust_lookup[],3,0)</f>
        <v>Hillingdon</v>
      </c>
      <c r="AW83" s="2" t="s">
        <v>76</v>
      </c>
      <c r="AX83" s="2" t="s">
        <v>77</v>
      </c>
      <c r="AY83" s="2" t="s">
        <v>658</v>
      </c>
      <c r="AZ83" s="2">
        <v>519</v>
      </c>
      <c r="BA83" s="2">
        <v>288</v>
      </c>
      <c r="BB83" s="44" t="str">
        <f>VLOOKUP(age_group[[#This Row],[trust_code]],trust_lookup[],3,0)</f>
        <v>Epsom</v>
      </c>
    </row>
    <row r="84" spans="1:54" x14ac:dyDescent="0.35">
      <c r="A84" s="2" t="s">
        <v>518</v>
      </c>
      <c r="B84" s="2" t="s">
        <v>107</v>
      </c>
      <c r="C84" s="2" t="s">
        <v>108</v>
      </c>
      <c r="D84" s="2" t="s">
        <v>193</v>
      </c>
      <c r="E84" s="2" t="s">
        <v>46</v>
      </c>
      <c r="F84" s="2">
        <v>16</v>
      </c>
      <c r="G84" s="2">
        <v>4</v>
      </c>
      <c r="H84" s="14" t="str">
        <f>VLOOKUP(flu_group[[#This Row],[trust_code]],trust_lookup[],3,0)</f>
        <v>King's</v>
      </c>
      <c r="I84" s="14" t="str">
        <f>VLOOKUP(flu_group[[#This Row],[trust_code]],trust_lookup[],4,0)</f>
        <v>Acute</v>
      </c>
      <c r="K84" s="2" t="s">
        <v>518</v>
      </c>
      <c r="L84" s="2" t="s">
        <v>161</v>
      </c>
      <c r="M84" s="2" t="s">
        <v>162</v>
      </c>
      <c r="N84" s="2" t="s">
        <v>27</v>
      </c>
      <c r="O84" s="2" t="s">
        <v>61</v>
      </c>
      <c r="P84" s="2">
        <v>2</v>
      </c>
      <c r="R84" s="43">
        <v>45663</v>
      </c>
      <c r="S84" s="2">
        <v>2</v>
      </c>
      <c r="T84" s="2" t="s">
        <v>519</v>
      </c>
      <c r="U84" s="2" t="s">
        <v>25</v>
      </c>
      <c r="V84" s="2" t="s">
        <v>26</v>
      </c>
      <c r="W84" s="2" t="s">
        <v>27</v>
      </c>
      <c r="X84" s="23">
        <v>29</v>
      </c>
      <c r="Y84" s="23">
        <v>1663</v>
      </c>
      <c r="Z84" s="23">
        <v>5870</v>
      </c>
      <c r="AA84" s="24">
        <v>0.28330494037478698</v>
      </c>
      <c r="AB84" s="14" t="str">
        <f>VLOOKUP(flu_aw24[[#This Row],[trust_code]],trust_lookup[],3,0)</f>
        <v>CNWL</v>
      </c>
      <c r="AD84" s="43">
        <v>45957</v>
      </c>
      <c r="AE84" s="2">
        <v>44</v>
      </c>
      <c r="AF84" s="2" t="s">
        <v>518</v>
      </c>
      <c r="AG84" s="2" t="s">
        <v>118</v>
      </c>
      <c r="AH84" s="2" t="s">
        <v>119</v>
      </c>
      <c r="AI84" s="2" t="s">
        <v>193</v>
      </c>
      <c r="AJ84" s="23">
        <v>194</v>
      </c>
      <c r="AK84" s="23">
        <v>1566</v>
      </c>
      <c r="AL84" s="23">
        <v>6569</v>
      </c>
      <c r="AM84" s="24">
        <v>0.23839244938346699</v>
      </c>
      <c r="AN84" s="44" t="str">
        <f>VLOOKUP(flu_aw25[[#This Row],[trust_code]],trust_lookup[],3,0)</f>
        <v>L&amp;G</v>
      </c>
      <c r="AP84" s="2" t="s">
        <v>176</v>
      </c>
      <c r="AQ84" s="2" t="s">
        <v>177</v>
      </c>
      <c r="AR84" s="2" t="s">
        <v>192</v>
      </c>
      <c r="AS84" s="2" t="s">
        <v>521</v>
      </c>
      <c r="AT84" s="2">
        <v>736</v>
      </c>
      <c r="AU84" s="44" t="str">
        <f>VLOOKUP(flu_location[[#This Row],[trust_code]],trust_lookup[],3,0)</f>
        <v>Hillingdon</v>
      </c>
      <c r="AW84" s="2" t="s">
        <v>76</v>
      </c>
      <c r="AX84" s="2" t="s">
        <v>77</v>
      </c>
      <c r="AY84" s="2" t="s">
        <v>659</v>
      </c>
      <c r="AZ84" s="2">
        <v>316</v>
      </c>
      <c r="BA84" s="2">
        <v>205</v>
      </c>
      <c r="BB84" s="44" t="str">
        <f>VLOOKUP(age_group[[#This Row],[trust_code]],trust_lookup[],3,0)</f>
        <v>Epsom</v>
      </c>
    </row>
    <row r="85" spans="1:54" x14ac:dyDescent="0.35">
      <c r="A85" s="2" t="s">
        <v>518</v>
      </c>
      <c r="B85" s="2" t="s">
        <v>130</v>
      </c>
      <c r="C85" s="2" t="s">
        <v>131</v>
      </c>
      <c r="D85" s="2" t="s">
        <v>192</v>
      </c>
      <c r="E85" s="2" t="s">
        <v>46</v>
      </c>
      <c r="F85" s="2">
        <v>62</v>
      </c>
      <c r="G85" s="2">
        <v>17</v>
      </c>
      <c r="H85" s="14" t="str">
        <f>VLOOKUP(flu_group[[#This Row],[trust_code]],trust_lookup[],3,0)</f>
        <v>LNW</v>
      </c>
      <c r="I85" s="14" t="str">
        <f>VLOOKUP(flu_group[[#This Row],[trust_code]],trust_lookup[],4,0)</f>
        <v>Acute</v>
      </c>
      <c r="K85" s="2" t="s">
        <v>518</v>
      </c>
      <c r="L85" s="2" t="s">
        <v>161</v>
      </c>
      <c r="M85" s="2" t="s">
        <v>162</v>
      </c>
      <c r="N85" s="2" t="s">
        <v>27</v>
      </c>
      <c r="O85" s="2" t="s">
        <v>100</v>
      </c>
      <c r="P85" s="2">
        <v>14</v>
      </c>
      <c r="R85" s="43">
        <v>45670</v>
      </c>
      <c r="S85" s="2">
        <v>3</v>
      </c>
      <c r="T85" s="2" t="s">
        <v>519</v>
      </c>
      <c r="U85" s="2" t="s">
        <v>25</v>
      </c>
      <c r="V85" s="2" t="s">
        <v>26</v>
      </c>
      <c r="W85" s="2" t="s">
        <v>27</v>
      </c>
      <c r="X85" s="23">
        <v>27</v>
      </c>
      <c r="Y85" s="23">
        <v>1690</v>
      </c>
      <c r="Z85" s="23">
        <v>5870</v>
      </c>
      <c r="AA85" s="24">
        <v>0.287904599659284</v>
      </c>
      <c r="AB85" s="14" t="str">
        <f>VLOOKUP(flu_aw24[[#This Row],[trust_code]],trust_lookup[],3,0)</f>
        <v>CNWL</v>
      </c>
      <c r="AD85" s="43">
        <v>45964</v>
      </c>
      <c r="AE85" s="2">
        <v>45</v>
      </c>
      <c r="AF85" s="2" t="s">
        <v>518</v>
      </c>
      <c r="AG85" s="2" t="s">
        <v>118</v>
      </c>
      <c r="AH85" s="2" t="s">
        <v>119</v>
      </c>
      <c r="AI85" s="2" t="s">
        <v>193</v>
      </c>
      <c r="AJ85" s="23">
        <v>136</v>
      </c>
      <c r="AK85" s="23">
        <v>1702</v>
      </c>
      <c r="AL85" s="23">
        <v>6569</v>
      </c>
      <c r="AM85" s="24">
        <v>0.25909575277820002</v>
      </c>
      <c r="AN85" s="44" t="str">
        <f>VLOOKUP(flu_aw25[[#This Row],[trust_code]],trust_lookup[],3,0)</f>
        <v>L&amp;G</v>
      </c>
      <c r="AP85" s="2" t="s">
        <v>176</v>
      </c>
      <c r="AQ85" s="2" t="s">
        <v>177</v>
      </c>
      <c r="AR85" s="2" t="s">
        <v>192</v>
      </c>
      <c r="AS85" s="2" t="s">
        <v>522</v>
      </c>
      <c r="AT85" s="2">
        <v>107</v>
      </c>
      <c r="AU85" s="44" t="str">
        <f>VLOOKUP(flu_location[[#This Row],[trust_code]],trust_lookup[],3,0)</f>
        <v>Hillingdon</v>
      </c>
      <c r="AW85" s="2" t="s">
        <v>83</v>
      </c>
      <c r="AX85" s="2" t="s">
        <v>84</v>
      </c>
      <c r="AY85" s="2" t="s">
        <v>650</v>
      </c>
      <c r="AZ85" s="2">
        <v>227</v>
      </c>
      <c r="BA85" s="2">
        <v>106</v>
      </c>
      <c r="BB85" s="44" t="str">
        <f>VLOOKUP(age_group[[#This Row],[trust_code]],trust_lookup[],3,0)</f>
        <v>GOSH</v>
      </c>
    </row>
    <row r="86" spans="1:54" x14ac:dyDescent="0.35">
      <c r="A86" s="2" t="s">
        <v>518</v>
      </c>
      <c r="B86" s="2" t="s">
        <v>118</v>
      </c>
      <c r="C86" s="2" t="s">
        <v>119</v>
      </c>
      <c r="D86" s="2" t="s">
        <v>193</v>
      </c>
      <c r="E86" s="2" t="s">
        <v>46</v>
      </c>
      <c r="F86" s="2">
        <v>161</v>
      </c>
      <c r="G86" s="2">
        <v>49</v>
      </c>
      <c r="H86" s="14" t="str">
        <f>VLOOKUP(flu_group[[#This Row],[trust_code]],trust_lookup[],3,0)</f>
        <v>L&amp;G</v>
      </c>
      <c r="I86" s="14" t="str">
        <f>VLOOKUP(flu_group[[#This Row],[trust_code]],trust_lookup[],4,0)</f>
        <v>Acute</v>
      </c>
      <c r="K86" s="2" t="s">
        <v>518</v>
      </c>
      <c r="L86" s="2" t="s">
        <v>161</v>
      </c>
      <c r="M86" s="2" t="s">
        <v>162</v>
      </c>
      <c r="N86" s="2" t="s">
        <v>27</v>
      </c>
      <c r="O86" s="2" t="s">
        <v>75</v>
      </c>
      <c r="P86" s="2">
        <v>4</v>
      </c>
      <c r="R86" s="43">
        <v>45677</v>
      </c>
      <c r="S86" s="2">
        <v>4</v>
      </c>
      <c r="T86" s="2" t="s">
        <v>519</v>
      </c>
      <c r="U86" s="2" t="s">
        <v>25</v>
      </c>
      <c r="V86" s="2" t="s">
        <v>26</v>
      </c>
      <c r="W86" s="2" t="s">
        <v>27</v>
      </c>
      <c r="X86" s="23">
        <v>15</v>
      </c>
      <c r="Y86" s="23">
        <v>1705</v>
      </c>
      <c r="Z86" s="23">
        <v>5870</v>
      </c>
      <c r="AA86" s="24">
        <v>0.29045996592844903</v>
      </c>
      <c r="AB86" s="14" t="str">
        <f>VLOOKUP(flu_aw24[[#This Row],[trust_code]],trust_lookup[],3,0)</f>
        <v>CNWL</v>
      </c>
      <c r="AD86" s="43">
        <v>45971</v>
      </c>
      <c r="AE86" s="2">
        <v>46</v>
      </c>
      <c r="AF86" s="2" t="s">
        <v>518</v>
      </c>
      <c r="AG86" s="2" t="s">
        <v>118</v>
      </c>
      <c r="AH86" s="2" t="s">
        <v>119</v>
      </c>
      <c r="AI86" s="2" t="s">
        <v>193</v>
      </c>
      <c r="AJ86" s="23">
        <v>135</v>
      </c>
      <c r="AK86" s="23">
        <v>1837</v>
      </c>
      <c r="AL86" s="23">
        <v>6569</v>
      </c>
      <c r="AM86" s="24">
        <v>0.27964682600091301</v>
      </c>
      <c r="AN86" s="44" t="str">
        <f>VLOOKUP(flu_aw25[[#This Row],[trust_code]],trust_lookup[],3,0)</f>
        <v>L&amp;G</v>
      </c>
      <c r="AP86" s="2" t="s">
        <v>176</v>
      </c>
      <c r="AQ86" s="2" t="s">
        <v>177</v>
      </c>
      <c r="AR86" s="2" t="s">
        <v>192</v>
      </c>
      <c r="AS86" s="2" t="s">
        <v>524</v>
      </c>
      <c r="AT86" s="2">
        <v>2</v>
      </c>
      <c r="AU86" s="44" t="str">
        <f>VLOOKUP(flu_location[[#This Row],[trust_code]],trust_lookup[],3,0)</f>
        <v>Hillingdon</v>
      </c>
      <c r="AW86" s="2" t="s">
        <v>83</v>
      </c>
      <c r="AX86" s="2" t="s">
        <v>84</v>
      </c>
      <c r="AY86" s="2" t="s">
        <v>651</v>
      </c>
      <c r="AZ86" s="2">
        <v>590</v>
      </c>
      <c r="BA86" s="2">
        <v>339</v>
      </c>
      <c r="BB86" s="44" t="str">
        <f>VLOOKUP(age_group[[#This Row],[trust_code]],trust_lookup[],3,0)</f>
        <v>GOSH</v>
      </c>
    </row>
    <row r="87" spans="1:54" x14ac:dyDescent="0.35">
      <c r="A87" s="2" t="s">
        <v>518</v>
      </c>
      <c r="B87" s="2" t="s">
        <v>62</v>
      </c>
      <c r="C87" s="2" t="s">
        <v>63</v>
      </c>
      <c r="D87" s="2" t="s">
        <v>194</v>
      </c>
      <c r="E87" s="2" t="s">
        <v>46</v>
      </c>
      <c r="F87" s="2">
        <v>81</v>
      </c>
      <c r="G87" s="2">
        <v>24</v>
      </c>
      <c r="H87" s="14" t="str">
        <f>VLOOKUP(flu_group[[#This Row],[trust_code]],trust_lookup[],3,0)</f>
        <v>Croydon</v>
      </c>
      <c r="I87" s="14" t="str">
        <f>VLOOKUP(flu_group[[#This Row],[trust_code]],trust_lookup[],4,0)</f>
        <v>Acute &amp; Community</v>
      </c>
      <c r="K87" s="2" t="s">
        <v>518</v>
      </c>
      <c r="L87" s="2" t="s">
        <v>161</v>
      </c>
      <c r="M87" s="2" t="s">
        <v>162</v>
      </c>
      <c r="N87" s="2" t="s">
        <v>27</v>
      </c>
      <c r="O87" s="2" t="s">
        <v>106</v>
      </c>
      <c r="P87" s="2">
        <v>6</v>
      </c>
      <c r="R87" s="43">
        <v>45684</v>
      </c>
      <c r="S87" s="2">
        <v>5</v>
      </c>
      <c r="T87" s="2" t="s">
        <v>519</v>
      </c>
      <c r="U87" s="2" t="s">
        <v>25</v>
      </c>
      <c r="V87" s="2" t="s">
        <v>26</v>
      </c>
      <c r="W87" s="2" t="s">
        <v>27</v>
      </c>
      <c r="X87" s="23">
        <v>22</v>
      </c>
      <c r="Y87" s="23">
        <v>1727</v>
      </c>
      <c r="Z87" s="23">
        <v>5870</v>
      </c>
      <c r="AA87" s="24">
        <v>0.29420783645655801</v>
      </c>
      <c r="AB87" s="14" t="str">
        <f>VLOOKUP(flu_aw24[[#This Row],[trust_code]],trust_lookup[],3,0)</f>
        <v>CNWL</v>
      </c>
      <c r="AD87" s="43">
        <v>45978</v>
      </c>
      <c r="AE87" s="2">
        <v>47</v>
      </c>
      <c r="AF87" s="2" t="s">
        <v>518</v>
      </c>
      <c r="AG87" s="2" t="s">
        <v>118</v>
      </c>
      <c r="AH87" s="2" t="s">
        <v>119</v>
      </c>
      <c r="AI87" s="2" t="s">
        <v>193</v>
      </c>
      <c r="AJ87" s="23">
        <v>89</v>
      </c>
      <c r="AK87" s="23">
        <v>1926</v>
      </c>
      <c r="AL87" s="23">
        <v>6569</v>
      </c>
      <c r="AM87" s="24">
        <v>0.29319531131070098</v>
      </c>
      <c r="AN87" s="44" t="str">
        <f>VLOOKUP(flu_aw25[[#This Row],[trust_code]],trust_lookup[],3,0)</f>
        <v>L&amp;G</v>
      </c>
      <c r="AP87" s="2" t="s">
        <v>187</v>
      </c>
      <c r="AQ87" s="2" t="s">
        <v>188</v>
      </c>
      <c r="AR87" s="2" t="s">
        <v>192</v>
      </c>
      <c r="AS87" s="2" t="s">
        <v>520</v>
      </c>
      <c r="AT87" s="2">
        <v>312</v>
      </c>
      <c r="AU87" s="44" t="str">
        <f>VLOOKUP(flu_location[[#This Row],[trust_code]],trust_lookup[],3,0)</f>
        <v>West London</v>
      </c>
      <c r="AW87" s="2" t="s">
        <v>83</v>
      </c>
      <c r="AX87" s="2" t="s">
        <v>84</v>
      </c>
      <c r="AY87" s="2" t="s">
        <v>652</v>
      </c>
      <c r="AZ87" s="2">
        <v>622</v>
      </c>
      <c r="BA87" s="2">
        <v>340</v>
      </c>
      <c r="BB87" s="44" t="str">
        <f>VLOOKUP(age_group[[#This Row],[trust_code]],trust_lookup[],3,0)</f>
        <v>GOSH</v>
      </c>
    </row>
    <row r="88" spans="1:54" x14ac:dyDescent="0.35">
      <c r="A88" s="2" t="s">
        <v>518</v>
      </c>
      <c r="B88" s="2" t="s">
        <v>89</v>
      </c>
      <c r="C88" s="2" t="s">
        <v>90</v>
      </c>
      <c r="D88" s="2" t="s">
        <v>193</v>
      </c>
      <c r="E88" s="2" t="s">
        <v>46</v>
      </c>
      <c r="F88" s="2">
        <v>56</v>
      </c>
      <c r="G88" s="2">
        <v>26</v>
      </c>
      <c r="H88" s="14" t="str">
        <f>VLOOKUP(flu_group[[#This Row],[trust_code]],trust_lookup[],3,0)</f>
        <v>GSTT</v>
      </c>
      <c r="I88" s="14" t="str">
        <f>VLOOKUP(flu_group[[#This Row],[trust_code]],trust_lookup[],4,0)</f>
        <v>Acute</v>
      </c>
      <c r="K88" s="2" t="s">
        <v>518</v>
      </c>
      <c r="L88" s="2" t="s">
        <v>161</v>
      </c>
      <c r="M88" s="2" t="s">
        <v>162</v>
      </c>
      <c r="N88" s="2" t="s">
        <v>27</v>
      </c>
      <c r="O88" s="2" t="s">
        <v>112</v>
      </c>
      <c r="P88" s="2">
        <v>22</v>
      </c>
      <c r="R88" s="43">
        <v>45691</v>
      </c>
      <c r="S88" s="2">
        <v>6</v>
      </c>
      <c r="T88" s="2" t="s">
        <v>519</v>
      </c>
      <c r="U88" s="2" t="s">
        <v>25</v>
      </c>
      <c r="V88" s="2" t="s">
        <v>26</v>
      </c>
      <c r="W88" s="2" t="s">
        <v>27</v>
      </c>
      <c r="X88" s="23">
        <v>6</v>
      </c>
      <c r="Y88" s="23">
        <v>1733</v>
      </c>
      <c r="Z88" s="23">
        <v>5870</v>
      </c>
      <c r="AA88" s="24">
        <v>0.29522998296422398</v>
      </c>
      <c r="AB88" s="14" t="str">
        <f>VLOOKUP(flu_aw24[[#This Row],[trust_code]],trust_lookup[],3,0)</f>
        <v>CNWL</v>
      </c>
      <c r="AD88" s="43">
        <v>45985</v>
      </c>
      <c r="AE88" s="2">
        <v>48</v>
      </c>
      <c r="AF88" s="2" t="s">
        <v>518</v>
      </c>
      <c r="AG88" s="2" t="s">
        <v>118</v>
      </c>
      <c r="AH88" s="2" t="s">
        <v>119</v>
      </c>
      <c r="AI88" s="2" t="s">
        <v>193</v>
      </c>
      <c r="AJ88" s="23">
        <v>166</v>
      </c>
      <c r="AK88" s="23">
        <v>2092</v>
      </c>
      <c r="AL88" s="23">
        <v>6569</v>
      </c>
      <c r="AM88" s="24">
        <v>0.31846551986603699</v>
      </c>
      <c r="AN88" s="44" t="str">
        <f>VLOOKUP(flu_aw25[[#This Row],[trust_code]],trust_lookup[],3,0)</f>
        <v>L&amp;G</v>
      </c>
      <c r="AP88" s="2" t="s">
        <v>187</v>
      </c>
      <c r="AQ88" s="2" t="s">
        <v>188</v>
      </c>
      <c r="AR88" s="2" t="s">
        <v>192</v>
      </c>
      <c r="AS88" s="2" t="s">
        <v>521</v>
      </c>
      <c r="AT88" s="2">
        <v>868</v>
      </c>
      <c r="AU88" s="44" t="str">
        <f>VLOOKUP(flu_location[[#This Row],[trust_code]],trust_lookup[],3,0)</f>
        <v>West London</v>
      </c>
      <c r="AW88" s="2" t="s">
        <v>83</v>
      </c>
      <c r="AX88" s="2" t="s">
        <v>84</v>
      </c>
      <c r="AY88" s="2" t="s">
        <v>653</v>
      </c>
      <c r="AZ88" s="2">
        <v>628</v>
      </c>
      <c r="BA88" s="2">
        <v>333</v>
      </c>
      <c r="BB88" s="44" t="str">
        <f>VLOOKUP(age_group[[#This Row],[trust_code]],trust_lookup[],3,0)</f>
        <v>GOSH</v>
      </c>
    </row>
    <row r="89" spans="1:54" x14ac:dyDescent="0.35">
      <c r="A89" s="2" t="s">
        <v>518</v>
      </c>
      <c r="B89" s="2" t="s">
        <v>101</v>
      </c>
      <c r="C89" s="2" t="s">
        <v>102</v>
      </c>
      <c r="D89" s="2" t="s">
        <v>192</v>
      </c>
      <c r="E89" s="2" t="s">
        <v>46</v>
      </c>
      <c r="F89" s="2">
        <v>23</v>
      </c>
      <c r="G89" s="2">
        <v>6</v>
      </c>
      <c r="H89" s="14" t="str">
        <f>VLOOKUP(flu_group[[#This Row],[trust_code]],trust_lookup[],3,0)</f>
        <v>Imperial</v>
      </c>
      <c r="I89" s="14" t="str">
        <f>VLOOKUP(flu_group[[#This Row],[trust_code]],trust_lookup[],4,0)</f>
        <v>Acute</v>
      </c>
      <c r="K89" s="2" t="s">
        <v>518</v>
      </c>
      <c r="L89" s="2" t="s">
        <v>161</v>
      </c>
      <c r="M89" s="2" t="s">
        <v>162</v>
      </c>
      <c r="N89" s="2" t="s">
        <v>27</v>
      </c>
      <c r="O89" s="2" t="s">
        <v>36</v>
      </c>
      <c r="P89" s="2">
        <v>25</v>
      </c>
      <c r="R89" s="43">
        <v>45698</v>
      </c>
      <c r="S89" s="2">
        <v>7</v>
      </c>
      <c r="T89" s="2" t="s">
        <v>519</v>
      </c>
      <c r="U89" s="2" t="s">
        <v>25</v>
      </c>
      <c r="V89" s="2" t="s">
        <v>26</v>
      </c>
      <c r="W89" s="2" t="s">
        <v>27</v>
      </c>
      <c r="X89" s="23">
        <v>4</v>
      </c>
      <c r="Y89" s="23">
        <v>1737</v>
      </c>
      <c r="Z89" s="23">
        <v>5870</v>
      </c>
      <c r="AA89" s="24">
        <v>0.29591141396933501</v>
      </c>
      <c r="AB89" s="14" t="str">
        <f>VLOOKUP(flu_aw24[[#This Row],[trust_code]],trust_lookup[],3,0)</f>
        <v>CNWL</v>
      </c>
      <c r="AD89" s="43">
        <v>45992</v>
      </c>
      <c r="AE89" s="2">
        <v>49</v>
      </c>
      <c r="AF89" s="2" t="s">
        <v>518</v>
      </c>
      <c r="AG89" s="2" t="s">
        <v>118</v>
      </c>
      <c r="AH89" s="2" t="s">
        <v>119</v>
      </c>
      <c r="AI89" s="2" t="s">
        <v>193</v>
      </c>
      <c r="AJ89" s="23">
        <v>73</v>
      </c>
      <c r="AK89" s="23">
        <v>2165</v>
      </c>
      <c r="AL89" s="23">
        <v>6569</v>
      </c>
      <c r="AM89" s="24">
        <v>0.32957832242350399</v>
      </c>
      <c r="AN89" s="44" t="str">
        <f>VLOOKUP(flu_aw25[[#This Row],[trust_code]],trust_lookup[],3,0)</f>
        <v>L&amp;G</v>
      </c>
      <c r="AP89" s="2" t="s">
        <v>187</v>
      </c>
      <c r="AQ89" s="2" t="s">
        <v>188</v>
      </c>
      <c r="AR89" s="2" t="s">
        <v>192</v>
      </c>
      <c r="AS89" s="2" t="s">
        <v>522</v>
      </c>
      <c r="AT89" s="2">
        <v>302</v>
      </c>
      <c r="AU89" s="44" t="str">
        <f>VLOOKUP(flu_location[[#This Row],[trust_code]],trust_lookup[],3,0)</f>
        <v>West London</v>
      </c>
      <c r="AW89" s="2" t="s">
        <v>83</v>
      </c>
      <c r="AX89" s="2" t="s">
        <v>84</v>
      </c>
      <c r="AY89" s="2" t="s">
        <v>654</v>
      </c>
      <c r="AZ89" s="2">
        <v>539</v>
      </c>
      <c r="BA89" s="2">
        <v>318</v>
      </c>
      <c r="BB89" s="44" t="str">
        <f>VLOOKUP(age_group[[#This Row],[trust_code]],trust_lookup[],3,0)</f>
        <v>GOSH</v>
      </c>
    </row>
    <row r="90" spans="1:54" x14ac:dyDescent="0.35">
      <c r="A90" s="2" t="s">
        <v>518</v>
      </c>
      <c r="B90" s="2" t="s">
        <v>176</v>
      </c>
      <c r="C90" s="2" t="s">
        <v>177</v>
      </c>
      <c r="D90" s="2" t="s">
        <v>192</v>
      </c>
      <c r="E90" s="2" t="s">
        <v>46</v>
      </c>
      <c r="F90" s="2">
        <v>48</v>
      </c>
      <c r="G90" s="2">
        <v>17</v>
      </c>
      <c r="H90" s="14" t="str">
        <f>VLOOKUP(flu_group[[#This Row],[trust_code]],trust_lookup[],3,0)</f>
        <v>Hillingdon</v>
      </c>
      <c r="I90" s="14" t="str">
        <f>VLOOKUP(flu_group[[#This Row],[trust_code]],trust_lookup[],4,0)</f>
        <v>Acute</v>
      </c>
      <c r="K90" s="2" t="s">
        <v>518</v>
      </c>
      <c r="L90" s="2" t="s">
        <v>173</v>
      </c>
      <c r="M90" s="2" t="s">
        <v>174</v>
      </c>
      <c r="N90" s="2" t="s">
        <v>27</v>
      </c>
      <c r="O90" s="2" t="s">
        <v>68</v>
      </c>
      <c r="P90" s="2">
        <v>95</v>
      </c>
      <c r="R90" s="43">
        <v>45705</v>
      </c>
      <c r="S90" s="2">
        <v>8</v>
      </c>
      <c r="T90" s="2" t="s">
        <v>519</v>
      </c>
      <c r="U90" s="2" t="s">
        <v>25</v>
      </c>
      <c r="V90" s="2" t="s">
        <v>26</v>
      </c>
      <c r="W90" s="2" t="s">
        <v>27</v>
      </c>
      <c r="X90" s="23">
        <v>2</v>
      </c>
      <c r="Y90" s="23">
        <v>1739</v>
      </c>
      <c r="Z90" s="23">
        <v>5870</v>
      </c>
      <c r="AA90" s="24">
        <v>0.29625212947189</v>
      </c>
      <c r="AB90" s="14" t="str">
        <f>VLOOKUP(flu_aw24[[#This Row],[trust_code]],trust_lookup[],3,0)</f>
        <v>CNWL</v>
      </c>
      <c r="AD90" s="43">
        <v>45999</v>
      </c>
      <c r="AE90" s="2">
        <v>50</v>
      </c>
      <c r="AF90" s="2" t="s">
        <v>518</v>
      </c>
      <c r="AG90" s="2" t="s">
        <v>118</v>
      </c>
      <c r="AH90" s="2" t="s">
        <v>119</v>
      </c>
      <c r="AI90" s="2" t="s">
        <v>193</v>
      </c>
      <c r="AJ90" s="23">
        <v>64</v>
      </c>
      <c r="AK90" s="23">
        <v>2229</v>
      </c>
      <c r="AL90" s="23">
        <v>6569</v>
      </c>
      <c r="AM90" s="24">
        <v>0.33932105343279001</v>
      </c>
      <c r="AN90" s="44" t="str">
        <f>VLOOKUP(flu_aw25[[#This Row],[trust_code]],trust_lookup[],3,0)</f>
        <v>L&amp;G</v>
      </c>
      <c r="AP90" s="2" t="s">
        <v>187</v>
      </c>
      <c r="AQ90" s="2" t="s">
        <v>188</v>
      </c>
      <c r="AR90" s="2" t="s">
        <v>192</v>
      </c>
      <c r="AS90" s="2" t="s">
        <v>524</v>
      </c>
      <c r="AT90" s="2">
        <v>4</v>
      </c>
      <c r="AU90" s="44" t="str">
        <f>VLOOKUP(flu_location[[#This Row],[trust_code]],trust_lookup[],3,0)</f>
        <v>West London</v>
      </c>
      <c r="AW90" s="2" t="s">
        <v>83</v>
      </c>
      <c r="AX90" s="2" t="s">
        <v>84</v>
      </c>
      <c r="AY90" s="2" t="s">
        <v>655</v>
      </c>
      <c r="AZ90" s="2">
        <v>388</v>
      </c>
      <c r="BA90" s="2">
        <v>205</v>
      </c>
      <c r="BB90" s="44" t="str">
        <f>VLOOKUP(age_group[[#This Row],[trust_code]],trust_lookup[],3,0)</f>
        <v>GOSH</v>
      </c>
    </row>
    <row r="91" spans="1:54" x14ac:dyDescent="0.35">
      <c r="A91" s="2" t="s">
        <v>518</v>
      </c>
      <c r="B91" s="2" t="s">
        <v>187</v>
      </c>
      <c r="C91" s="2" t="s">
        <v>188</v>
      </c>
      <c r="D91" s="2" t="s">
        <v>192</v>
      </c>
      <c r="E91" s="2" t="s">
        <v>46</v>
      </c>
      <c r="F91" s="2">
        <v>31</v>
      </c>
      <c r="G91" s="2">
        <v>6</v>
      </c>
      <c r="H91" s="14" t="str">
        <f>VLOOKUP(flu_group[[#This Row],[trust_code]],trust_lookup[],3,0)</f>
        <v>West London</v>
      </c>
      <c r="I91" s="14" t="str">
        <f>VLOOKUP(flu_group[[#This Row],[trust_code]],trust_lookup[],4,0)</f>
        <v>Mental Health &amp; Community</v>
      </c>
      <c r="K91" s="2" t="s">
        <v>518</v>
      </c>
      <c r="L91" s="2" t="s">
        <v>173</v>
      </c>
      <c r="M91" s="2" t="s">
        <v>174</v>
      </c>
      <c r="N91" s="2" t="s">
        <v>27</v>
      </c>
      <c r="O91" s="2" t="s">
        <v>135</v>
      </c>
      <c r="P91" s="2">
        <v>3</v>
      </c>
      <c r="R91" s="43">
        <v>45726</v>
      </c>
      <c r="S91" s="2">
        <v>11</v>
      </c>
      <c r="T91" s="2" t="s">
        <v>519</v>
      </c>
      <c r="U91" s="2" t="s">
        <v>25</v>
      </c>
      <c r="V91" s="2" t="s">
        <v>26</v>
      </c>
      <c r="W91" s="2" t="s">
        <v>27</v>
      </c>
      <c r="X91" s="23">
        <v>1</v>
      </c>
      <c r="Y91" s="23">
        <v>1740</v>
      </c>
      <c r="Z91" s="23">
        <v>5870</v>
      </c>
      <c r="AA91" s="24">
        <v>0.296422487223168</v>
      </c>
      <c r="AB91" s="14" t="str">
        <f>VLOOKUP(flu_aw24[[#This Row],[trust_code]],trust_lookup[],3,0)</f>
        <v>CNWL</v>
      </c>
      <c r="AD91" s="43">
        <v>46006</v>
      </c>
      <c r="AE91" s="2">
        <v>51</v>
      </c>
      <c r="AF91" s="2" t="s">
        <v>518</v>
      </c>
      <c r="AG91" s="2" t="s">
        <v>118</v>
      </c>
      <c r="AH91" s="2" t="s">
        <v>119</v>
      </c>
      <c r="AI91" s="2" t="s">
        <v>193</v>
      </c>
      <c r="AJ91" s="23">
        <v>23</v>
      </c>
      <c r="AK91" s="23">
        <v>2252</v>
      </c>
      <c r="AL91" s="23">
        <v>6569</v>
      </c>
      <c r="AM91" s="24">
        <v>0.34282234738925199</v>
      </c>
      <c r="AN91" s="44" t="str">
        <f>VLOOKUP(flu_aw25[[#This Row],[trust_code]],trust_lookup[],3,0)</f>
        <v>L&amp;G</v>
      </c>
      <c r="AP91" s="2" t="s">
        <v>89</v>
      </c>
      <c r="AQ91" s="2" t="s">
        <v>90</v>
      </c>
      <c r="AR91" s="2" t="s">
        <v>193</v>
      </c>
      <c r="AS91" s="2" t="s">
        <v>520</v>
      </c>
      <c r="AT91" s="2">
        <v>847</v>
      </c>
      <c r="AU91" s="44" t="str">
        <f>VLOOKUP(flu_location[[#This Row],[trust_code]],trust_lookup[],3,0)</f>
        <v>GSTT</v>
      </c>
      <c r="AW91" s="2" t="s">
        <v>83</v>
      </c>
      <c r="AX91" s="2" t="s">
        <v>84</v>
      </c>
      <c r="AY91" s="2" t="s">
        <v>656</v>
      </c>
      <c r="AZ91" s="2">
        <v>349</v>
      </c>
      <c r="BA91" s="2">
        <v>205</v>
      </c>
      <c r="BB91" s="44" t="str">
        <f>VLOOKUP(age_group[[#This Row],[trust_code]],trust_lookup[],3,0)</f>
        <v>GOSH</v>
      </c>
    </row>
    <row r="92" spans="1:54" x14ac:dyDescent="0.35">
      <c r="A92" s="2" t="s">
        <v>518</v>
      </c>
      <c r="B92" s="2" t="s">
        <v>95</v>
      </c>
      <c r="C92" s="2" t="s">
        <v>96</v>
      </c>
      <c r="D92" s="2" t="s">
        <v>190</v>
      </c>
      <c r="E92" s="2" t="s">
        <v>46</v>
      </c>
      <c r="F92" s="2">
        <v>66</v>
      </c>
      <c r="G92" s="2">
        <v>15</v>
      </c>
      <c r="H92" s="14" t="str">
        <f>VLOOKUP(flu_group[[#This Row],[trust_code]],trust_lookup[],3,0)</f>
        <v>Homerton</v>
      </c>
      <c r="I92" s="14" t="str">
        <f>VLOOKUP(flu_group[[#This Row],[trust_code]],trust_lookup[],4,0)</f>
        <v>Acute</v>
      </c>
      <c r="K92" s="2" t="s">
        <v>518</v>
      </c>
      <c r="L92" s="2" t="s">
        <v>173</v>
      </c>
      <c r="M92" s="2" t="s">
        <v>174</v>
      </c>
      <c r="N92" s="2" t="s">
        <v>27</v>
      </c>
      <c r="O92" s="2" t="s">
        <v>54</v>
      </c>
      <c r="P92" s="2">
        <v>29</v>
      </c>
      <c r="R92" s="43">
        <v>45733</v>
      </c>
      <c r="S92" s="2">
        <v>12</v>
      </c>
      <c r="T92" s="2" t="s">
        <v>519</v>
      </c>
      <c r="U92" s="2" t="s">
        <v>25</v>
      </c>
      <c r="V92" s="2" t="s">
        <v>26</v>
      </c>
      <c r="W92" s="2" t="s">
        <v>27</v>
      </c>
      <c r="X92" s="23">
        <v>1</v>
      </c>
      <c r="Y92" s="23">
        <v>1741</v>
      </c>
      <c r="Z92" s="23">
        <v>5870</v>
      </c>
      <c r="AA92" s="24">
        <v>0.29659284497444599</v>
      </c>
      <c r="AB92" s="14" t="str">
        <f>VLOOKUP(flu_aw24[[#This Row],[trust_code]],trust_lookup[],3,0)</f>
        <v>CNWL</v>
      </c>
      <c r="AD92" s="43">
        <v>46013</v>
      </c>
      <c r="AE92" s="2">
        <v>52</v>
      </c>
      <c r="AF92" s="2" t="s">
        <v>518</v>
      </c>
      <c r="AG92" s="2" t="s">
        <v>118</v>
      </c>
      <c r="AH92" s="2" t="s">
        <v>119</v>
      </c>
      <c r="AI92" s="2" t="s">
        <v>193</v>
      </c>
      <c r="AJ92" s="23">
        <v>16</v>
      </c>
      <c r="AK92" s="23">
        <v>2268</v>
      </c>
      <c r="AL92" s="23">
        <v>6569</v>
      </c>
      <c r="AM92" s="24">
        <v>0.34525803014157402</v>
      </c>
      <c r="AN92" s="44" t="str">
        <f>VLOOKUP(flu_aw25[[#This Row],[trust_code]],trust_lookup[],3,0)</f>
        <v>L&amp;G</v>
      </c>
      <c r="AP92" s="2" t="s">
        <v>89</v>
      </c>
      <c r="AQ92" s="2" t="s">
        <v>90</v>
      </c>
      <c r="AR92" s="2" t="s">
        <v>193</v>
      </c>
      <c r="AS92" s="2" t="s">
        <v>521</v>
      </c>
      <c r="AT92" s="2">
        <v>5854</v>
      </c>
      <c r="AU92" s="44" t="str">
        <f>VLOOKUP(flu_location[[#This Row],[trust_code]],trust_lookup[],3,0)</f>
        <v>GSTT</v>
      </c>
      <c r="AW92" s="2" t="s">
        <v>83</v>
      </c>
      <c r="AX92" s="2" t="s">
        <v>84</v>
      </c>
      <c r="AY92" s="2" t="s">
        <v>657</v>
      </c>
      <c r="AZ92" s="2">
        <v>274</v>
      </c>
      <c r="BA92" s="2">
        <v>155</v>
      </c>
      <c r="BB92" s="44" t="str">
        <f>VLOOKUP(age_group[[#This Row],[trust_code]],trust_lookup[],3,0)</f>
        <v>GOSH</v>
      </c>
    </row>
    <row r="93" spans="1:54" x14ac:dyDescent="0.35">
      <c r="A93" s="2" t="s">
        <v>518</v>
      </c>
      <c r="B93" s="2" t="s">
        <v>173</v>
      </c>
      <c r="C93" s="2" t="s">
        <v>174</v>
      </c>
      <c r="D93" s="2" t="s">
        <v>27</v>
      </c>
      <c r="E93" s="2" t="s">
        <v>46</v>
      </c>
      <c r="F93" s="2">
        <v>29</v>
      </c>
      <c r="G93" s="2">
        <v>10</v>
      </c>
      <c r="H93" s="14" t="str">
        <f>VLOOKUP(flu_group[[#This Row],[trust_code]],trust_lookup[],3,0)</f>
        <v>T&amp;P</v>
      </c>
      <c r="I93" s="14" t="str">
        <f>VLOOKUP(flu_group[[#This Row],[trust_code]],trust_lookup[],4,0)</f>
        <v>Mental Health</v>
      </c>
      <c r="K93" s="2" t="s">
        <v>518</v>
      </c>
      <c r="L93" s="2" t="s">
        <v>173</v>
      </c>
      <c r="M93" s="2" t="s">
        <v>174</v>
      </c>
      <c r="N93" s="2" t="s">
        <v>27</v>
      </c>
      <c r="O93" s="2" t="s">
        <v>94</v>
      </c>
      <c r="P93" s="2">
        <v>1</v>
      </c>
      <c r="R93" s="43">
        <v>45551</v>
      </c>
      <c r="S93" s="2">
        <v>38</v>
      </c>
      <c r="T93" s="2" t="s">
        <v>519</v>
      </c>
      <c r="U93" s="2" t="s">
        <v>48</v>
      </c>
      <c r="V93" s="2" t="s">
        <v>49</v>
      </c>
      <c r="W93" s="2" t="s">
        <v>192</v>
      </c>
      <c r="X93" s="23">
        <v>7</v>
      </c>
      <c r="Y93" s="23">
        <v>7</v>
      </c>
      <c r="Z93" s="23">
        <v>4118</v>
      </c>
      <c r="AA93" s="24">
        <v>1.69985429820301E-3</v>
      </c>
      <c r="AB93" s="14" t="str">
        <f>VLOOKUP(flu_aw24[[#This Row],[trust_code]],trust_lookup[],3,0)</f>
        <v>CLCH</v>
      </c>
      <c r="AD93" s="43">
        <v>46020</v>
      </c>
      <c r="AE93" s="2">
        <v>1</v>
      </c>
      <c r="AF93" s="2" t="s">
        <v>518</v>
      </c>
      <c r="AG93" s="2" t="s">
        <v>118</v>
      </c>
      <c r="AH93" s="2" t="s">
        <v>119</v>
      </c>
      <c r="AI93" s="2" t="s">
        <v>193</v>
      </c>
      <c r="AJ93" s="23">
        <v>8</v>
      </c>
      <c r="AK93" s="23">
        <v>2276</v>
      </c>
      <c r="AL93" s="23">
        <v>6569</v>
      </c>
      <c r="AM93" s="24">
        <v>0.34647587151773401</v>
      </c>
      <c r="AN93" s="44" t="str">
        <f>VLOOKUP(flu_aw25[[#This Row],[trust_code]],trust_lookup[],3,0)</f>
        <v>L&amp;G</v>
      </c>
      <c r="AP93" s="2" t="s">
        <v>89</v>
      </c>
      <c r="AQ93" s="2" t="s">
        <v>90</v>
      </c>
      <c r="AR93" s="2" t="s">
        <v>193</v>
      </c>
      <c r="AS93" s="2" t="s">
        <v>522</v>
      </c>
      <c r="AT93" s="2">
        <v>803</v>
      </c>
      <c r="AU93" s="44" t="str">
        <f>VLOOKUP(flu_location[[#This Row],[trust_code]],trust_lookup[],3,0)</f>
        <v>GSTT</v>
      </c>
      <c r="AW93" s="2" t="s">
        <v>83</v>
      </c>
      <c r="AX93" s="2" t="s">
        <v>84</v>
      </c>
      <c r="AY93" s="2" t="s">
        <v>658</v>
      </c>
      <c r="AZ93" s="2">
        <v>188</v>
      </c>
      <c r="BA93" s="2">
        <v>106</v>
      </c>
      <c r="BB93" s="44" t="str">
        <f>VLOOKUP(age_group[[#This Row],[trust_code]],trust_lookup[],3,0)</f>
        <v>GOSH</v>
      </c>
    </row>
    <row r="94" spans="1:54" x14ac:dyDescent="0.35">
      <c r="A94" s="2" t="s">
        <v>518</v>
      </c>
      <c r="B94" s="2" t="s">
        <v>182</v>
      </c>
      <c r="C94" s="2" t="s">
        <v>183</v>
      </c>
      <c r="D94" s="2" t="s">
        <v>27</v>
      </c>
      <c r="E94" s="2" t="s">
        <v>46</v>
      </c>
      <c r="F94" s="2">
        <v>22</v>
      </c>
      <c r="G94" s="2">
        <v>5</v>
      </c>
      <c r="H94" s="14" t="str">
        <f>VLOOKUP(flu_group[[#This Row],[trust_code]],trust_lookup[],3,0)</f>
        <v>UCLH</v>
      </c>
      <c r="I94" s="14" t="str">
        <f>VLOOKUP(flu_group[[#This Row],[trust_code]],trust_lookup[],4,0)</f>
        <v>Acute</v>
      </c>
      <c r="K94" s="2" t="s">
        <v>518</v>
      </c>
      <c r="L94" s="2" t="s">
        <v>173</v>
      </c>
      <c r="M94" s="2" t="s">
        <v>174</v>
      </c>
      <c r="N94" s="2" t="s">
        <v>27</v>
      </c>
      <c r="O94" s="2" t="s">
        <v>29</v>
      </c>
      <c r="P94" s="2">
        <v>4</v>
      </c>
      <c r="R94" s="43">
        <v>45558</v>
      </c>
      <c r="S94" s="2">
        <v>39</v>
      </c>
      <c r="T94" s="2" t="s">
        <v>519</v>
      </c>
      <c r="U94" s="2" t="s">
        <v>48</v>
      </c>
      <c r="V94" s="2" t="s">
        <v>49</v>
      </c>
      <c r="W94" s="2" t="s">
        <v>192</v>
      </c>
      <c r="X94" s="23">
        <v>4</v>
      </c>
      <c r="Y94" s="23">
        <v>11</v>
      </c>
      <c r="Z94" s="23">
        <v>4118</v>
      </c>
      <c r="AA94" s="24">
        <v>2.6711996114618698E-3</v>
      </c>
      <c r="AB94" s="14" t="str">
        <f>VLOOKUP(flu_aw24[[#This Row],[trust_code]],trust_lookup[],3,0)</f>
        <v>CLCH</v>
      </c>
      <c r="AD94" s="43">
        <v>46027</v>
      </c>
      <c r="AE94" s="2">
        <v>2</v>
      </c>
      <c r="AF94" s="2" t="s">
        <v>518</v>
      </c>
      <c r="AG94" s="2" t="s">
        <v>118</v>
      </c>
      <c r="AH94" s="2" t="s">
        <v>119</v>
      </c>
      <c r="AI94" s="2" t="s">
        <v>193</v>
      </c>
      <c r="AJ94" s="23">
        <v>9</v>
      </c>
      <c r="AK94" s="23">
        <v>2285</v>
      </c>
      <c r="AL94" s="23">
        <v>6569</v>
      </c>
      <c r="AM94" s="24">
        <v>0.34784594306591499</v>
      </c>
      <c r="AN94" s="44" t="str">
        <f>VLOOKUP(flu_aw25[[#This Row],[trust_code]],trust_lookup[],3,0)</f>
        <v>L&amp;G</v>
      </c>
      <c r="AP94" s="2" t="s">
        <v>89</v>
      </c>
      <c r="AQ94" s="2" t="s">
        <v>90</v>
      </c>
      <c r="AR94" s="2" t="s">
        <v>193</v>
      </c>
      <c r="AS94" s="2" t="s">
        <v>524</v>
      </c>
      <c r="AT94" s="2">
        <v>24</v>
      </c>
      <c r="AU94" s="44" t="str">
        <f>VLOOKUP(flu_location[[#This Row],[trust_code]],trust_lookup[],3,0)</f>
        <v>GSTT</v>
      </c>
      <c r="AW94" s="2" t="s">
        <v>83</v>
      </c>
      <c r="AX94" s="2" t="s">
        <v>84</v>
      </c>
      <c r="AY94" s="2" t="s">
        <v>659</v>
      </c>
      <c r="AZ94" s="2">
        <v>117</v>
      </c>
      <c r="BA94" s="2">
        <v>75</v>
      </c>
      <c r="BB94" s="44" t="str">
        <f>VLOOKUP(age_group[[#This Row],[trust_code]],trust_lookup[],3,0)</f>
        <v>GOSH</v>
      </c>
    </row>
    <row r="95" spans="1:54" x14ac:dyDescent="0.35">
      <c r="A95" s="2" t="s">
        <v>518</v>
      </c>
      <c r="B95" s="2" t="s">
        <v>164</v>
      </c>
      <c r="C95" s="2" t="s">
        <v>165</v>
      </c>
      <c r="D95" s="2" t="s">
        <v>193</v>
      </c>
      <c r="E95" s="2" t="s">
        <v>46</v>
      </c>
      <c r="F95" s="2">
        <v>4</v>
      </c>
      <c r="G95" s="2">
        <v>2</v>
      </c>
      <c r="H95" s="14" t="str">
        <f>VLOOKUP(flu_group[[#This Row],[trust_code]],trust_lookup[],3,0)</f>
        <v>SLAM</v>
      </c>
      <c r="I95" s="14" t="str">
        <f>VLOOKUP(flu_group[[#This Row],[trust_code]],trust_lookup[],4,0)</f>
        <v>Mental Health</v>
      </c>
      <c r="K95" s="2" t="s">
        <v>518</v>
      </c>
      <c r="L95" s="2" t="s">
        <v>173</v>
      </c>
      <c r="M95" s="2" t="s">
        <v>174</v>
      </c>
      <c r="N95" s="2" t="s">
        <v>27</v>
      </c>
      <c r="O95" s="2" t="s">
        <v>123</v>
      </c>
      <c r="P95" s="2">
        <v>9</v>
      </c>
      <c r="R95" s="43">
        <v>45565</v>
      </c>
      <c r="S95" s="2">
        <v>40</v>
      </c>
      <c r="T95" s="2" t="s">
        <v>519</v>
      </c>
      <c r="U95" s="2" t="s">
        <v>48</v>
      </c>
      <c r="V95" s="2" t="s">
        <v>49</v>
      </c>
      <c r="W95" s="2" t="s">
        <v>192</v>
      </c>
      <c r="X95" s="23">
        <v>151</v>
      </c>
      <c r="Y95" s="23">
        <v>162</v>
      </c>
      <c r="Z95" s="23">
        <v>4118</v>
      </c>
      <c r="AA95" s="24">
        <v>3.9339485186983901E-2</v>
      </c>
      <c r="AB95" s="14" t="str">
        <f>VLOOKUP(flu_aw24[[#This Row],[trust_code]],trust_lookup[],3,0)</f>
        <v>CLCH</v>
      </c>
      <c r="AD95" s="43">
        <v>46034</v>
      </c>
      <c r="AE95" s="2">
        <v>3</v>
      </c>
      <c r="AF95" s="2" t="s">
        <v>518</v>
      </c>
      <c r="AG95" s="2" t="s">
        <v>118</v>
      </c>
      <c r="AH95" s="2" t="s">
        <v>119</v>
      </c>
      <c r="AI95" s="2" t="s">
        <v>193</v>
      </c>
      <c r="AJ95" s="23">
        <v>5</v>
      </c>
      <c r="AK95" s="23">
        <v>2290</v>
      </c>
      <c r="AL95" s="23">
        <v>6569</v>
      </c>
      <c r="AM95" s="24">
        <v>0.34860709392601602</v>
      </c>
      <c r="AN95" s="44" t="str">
        <f>VLOOKUP(flu_aw25[[#This Row],[trust_code]],trust_lookup[],3,0)</f>
        <v>L&amp;G</v>
      </c>
      <c r="AP95" s="2" t="s">
        <v>107</v>
      </c>
      <c r="AQ95" s="2" t="s">
        <v>108</v>
      </c>
      <c r="AR95" s="2" t="s">
        <v>193</v>
      </c>
      <c r="AS95" s="2" t="s">
        <v>520</v>
      </c>
      <c r="AT95" s="2">
        <v>418</v>
      </c>
      <c r="AU95" s="44" t="str">
        <f>VLOOKUP(flu_location[[#This Row],[trust_code]],trust_lookup[],3,0)</f>
        <v>King's</v>
      </c>
      <c r="AW95" s="2" t="s">
        <v>89</v>
      </c>
      <c r="AX95" s="2" t="s">
        <v>90</v>
      </c>
      <c r="AY95" s="2" t="s">
        <v>650</v>
      </c>
      <c r="AZ95" s="2">
        <v>810</v>
      </c>
      <c r="BA95" s="2">
        <v>279</v>
      </c>
      <c r="BB95" s="44" t="str">
        <f>VLOOKUP(age_group[[#This Row],[trust_code]],trust_lookup[],3,0)</f>
        <v>GSTT</v>
      </c>
    </row>
    <row r="96" spans="1:54" x14ac:dyDescent="0.35">
      <c r="A96" s="2" t="s">
        <v>518</v>
      </c>
      <c r="B96" s="2" t="s">
        <v>130</v>
      </c>
      <c r="C96" s="2" t="s">
        <v>131</v>
      </c>
      <c r="D96" s="2" t="s">
        <v>192</v>
      </c>
      <c r="E96" s="2" t="s">
        <v>60</v>
      </c>
      <c r="F96" s="2">
        <v>324</v>
      </c>
      <c r="G96" s="2">
        <v>136</v>
      </c>
      <c r="H96" s="14" t="str">
        <f>VLOOKUP(flu_group[[#This Row],[trust_code]],trust_lookup[],3,0)</f>
        <v>LNW</v>
      </c>
      <c r="I96" s="14" t="str">
        <f>VLOOKUP(flu_group[[#This Row],[trust_code]],trust_lookup[],4,0)</f>
        <v>Acute</v>
      </c>
      <c r="K96" s="2" t="s">
        <v>518</v>
      </c>
      <c r="L96" s="2" t="s">
        <v>173</v>
      </c>
      <c r="M96" s="2" t="s">
        <v>174</v>
      </c>
      <c r="N96" s="2" t="s">
        <v>27</v>
      </c>
      <c r="O96" s="2" t="s">
        <v>88</v>
      </c>
      <c r="P96" s="2">
        <v>1</v>
      </c>
      <c r="R96" s="43">
        <v>45572</v>
      </c>
      <c r="S96" s="2">
        <v>41</v>
      </c>
      <c r="T96" s="2" t="s">
        <v>519</v>
      </c>
      <c r="U96" s="2" t="s">
        <v>48</v>
      </c>
      <c r="V96" s="2" t="s">
        <v>49</v>
      </c>
      <c r="W96" s="2" t="s">
        <v>192</v>
      </c>
      <c r="X96" s="23">
        <v>216</v>
      </c>
      <c r="Y96" s="23">
        <v>378</v>
      </c>
      <c r="Z96" s="23">
        <v>4118</v>
      </c>
      <c r="AA96" s="24">
        <v>9.1792132102962595E-2</v>
      </c>
      <c r="AB96" s="14" t="str">
        <f>VLOOKUP(flu_aw24[[#This Row],[trust_code]],trust_lookup[],3,0)</f>
        <v>CLCH</v>
      </c>
      <c r="AD96" s="43">
        <v>46041</v>
      </c>
      <c r="AE96" s="2">
        <v>4</v>
      </c>
      <c r="AF96" s="2" t="s">
        <v>518</v>
      </c>
      <c r="AG96" s="2" t="s">
        <v>118</v>
      </c>
      <c r="AH96" s="2" t="s">
        <v>119</v>
      </c>
      <c r="AI96" s="2" t="s">
        <v>193</v>
      </c>
      <c r="AJ96" s="23">
        <v>4</v>
      </c>
      <c r="AK96" s="23">
        <v>2294</v>
      </c>
      <c r="AL96" s="23">
        <v>6569</v>
      </c>
      <c r="AM96" s="24">
        <v>0.34921601461409602</v>
      </c>
      <c r="AN96" s="44" t="str">
        <f>VLOOKUP(flu_aw25[[#This Row],[trust_code]],trust_lookup[],3,0)</f>
        <v>L&amp;G</v>
      </c>
      <c r="AP96" s="2" t="s">
        <v>107</v>
      </c>
      <c r="AQ96" s="2" t="s">
        <v>108</v>
      </c>
      <c r="AR96" s="2" t="s">
        <v>193</v>
      </c>
      <c r="AS96" s="2" t="s">
        <v>521</v>
      </c>
      <c r="AT96" s="2">
        <v>3699</v>
      </c>
      <c r="AU96" s="44" t="str">
        <f>VLOOKUP(flu_location[[#This Row],[trust_code]],trust_lookup[],3,0)</f>
        <v>King's</v>
      </c>
      <c r="AW96" s="2" t="s">
        <v>89</v>
      </c>
      <c r="AX96" s="2" t="s">
        <v>90</v>
      </c>
      <c r="AY96" s="2" t="s">
        <v>651</v>
      </c>
      <c r="AZ96" s="2">
        <v>2171</v>
      </c>
      <c r="BA96" s="2">
        <v>926</v>
      </c>
      <c r="BB96" s="44" t="str">
        <f>VLOOKUP(age_group[[#This Row],[trust_code]],trust_lookup[],3,0)</f>
        <v>GSTT</v>
      </c>
    </row>
    <row r="97" spans="1:54" x14ac:dyDescent="0.35">
      <c r="A97" s="2" t="s">
        <v>518</v>
      </c>
      <c r="B97" s="2" t="s">
        <v>25</v>
      </c>
      <c r="C97" s="2" t="s">
        <v>26</v>
      </c>
      <c r="D97" s="2" t="s">
        <v>192</v>
      </c>
      <c r="E97" s="2" t="s">
        <v>60</v>
      </c>
      <c r="F97" s="2">
        <v>921</v>
      </c>
      <c r="G97" s="2">
        <v>373</v>
      </c>
      <c r="H97" s="14" t="str">
        <f>VLOOKUP(flu_group[[#This Row],[trust_code]],trust_lookup[],3,0)</f>
        <v>CNWL</v>
      </c>
      <c r="I97" s="14" t="str">
        <f>VLOOKUP(flu_group[[#This Row],[trust_code]],trust_lookup[],4,0)</f>
        <v>Mental Health &amp; Community</v>
      </c>
      <c r="K97" s="2" t="s">
        <v>518</v>
      </c>
      <c r="L97" s="2" t="s">
        <v>173</v>
      </c>
      <c r="M97" s="2" t="s">
        <v>174</v>
      </c>
      <c r="N97" s="2" t="s">
        <v>27</v>
      </c>
      <c r="O97" s="2" t="s">
        <v>141</v>
      </c>
      <c r="P97" s="2">
        <v>6</v>
      </c>
      <c r="R97" s="43">
        <v>45579</v>
      </c>
      <c r="S97" s="2">
        <v>42</v>
      </c>
      <c r="T97" s="2" t="s">
        <v>519</v>
      </c>
      <c r="U97" s="2" t="s">
        <v>48</v>
      </c>
      <c r="V97" s="2" t="s">
        <v>49</v>
      </c>
      <c r="W97" s="2" t="s">
        <v>192</v>
      </c>
      <c r="X97" s="23">
        <v>150</v>
      </c>
      <c r="Y97" s="23">
        <v>528</v>
      </c>
      <c r="Z97" s="23">
        <v>4118</v>
      </c>
      <c r="AA97" s="24">
        <v>0.128217581350169</v>
      </c>
      <c r="AB97" s="14" t="str">
        <f>VLOOKUP(flu_aw24[[#This Row],[trust_code]],trust_lookup[],3,0)</f>
        <v>CLCH</v>
      </c>
      <c r="AD97" s="43">
        <v>46048</v>
      </c>
      <c r="AE97" s="2">
        <v>5</v>
      </c>
      <c r="AF97" s="2" t="s">
        <v>518</v>
      </c>
      <c r="AG97" s="2" t="s">
        <v>118</v>
      </c>
      <c r="AH97" s="2" t="s">
        <v>119</v>
      </c>
      <c r="AI97" s="2" t="s">
        <v>193</v>
      </c>
      <c r="AJ97" s="23">
        <v>6</v>
      </c>
      <c r="AK97" s="23">
        <v>2300</v>
      </c>
      <c r="AL97" s="23">
        <v>6569</v>
      </c>
      <c r="AM97" s="24">
        <v>0.35012939564621698</v>
      </c>
      <c r="AN97" s="44" t="str">
        <f>VLOOKUP(flu_aw25[[#This Row],[trust_code]],trust_lookup[],3,0)</f>
        <v>L&amp;G</v>
      </c>
      <c r="AP97" s="2" t="s">
        <v>107</v>
      </c>
      <c r="AQ97" s="2" t="s">
        <v>108</v>
      </c>
      <c r="AR97" s="2" t="s">
        <v>193</v>
      </c>
      <c r="AS97" s="2" t="s">
        <v>522</v>
      </c>
      <c r="AT97" s="2">
        <v>335</v>
      </c>
      <c r="AU97" s="44" t="str">
        <f>VLOOKUP(flu_location[[#This Row],[trust_code]],trust_lookup[],3,0)</f>
        <v>King's</v>
      </c>
      <c r="AW97" s="2" t="s">
        <v>89</v>
      </c>
      <c r="AX97" s="2" t="s">
        <v>90</v>
      </c>
      <c r="AY97" s="2" t="s">
        <v>652</v>
      </c>
      <c r="AZ97" s="2">
        <v>2641</v>
      </c>
      <c r="BA97" s="2">
        <v>1116</v>
      </c>
      <c r="BB97" s="44" t="str">
        <f>VLOOKUP(age_group[[#This Row],[trust_code]],trust_lookup[],3,0)</f>
        <v>GSTT</v>
      </c>
    </row>
    <row r="98" spans="1:54" x14ac:dyDescent="0.35">
      <c r="A98" s="2" t="s">
        <v>518</v>
      </c>
      <c r="B98" s="2" t="s">
        <v>101</v>
      </c>
      <c r="C98" s="2" t="s">
        <v>102</v>
      </c>
      <c r="D98" s="2" t="s">
        <v>192</v>
      </c>
      <c r="E98" s="2" t="s">
        <v>60</v>
      </c>
      <c r="F98" s="2">
        <v>720</v>
      </c>
      <c r="G98" s="2">
        <v>303</v>
      </c>
      <c r="H98" s="14" t="str">
        <f>VLOOKUP(flu_group[[#This Row],[trust_code]],trust_lookup[],3,0)</f>
        <v>Imperial</v>
      </c>
      <c r="I98" s="14" t="str">
        <f>VLOOKUP(flu_group[[#This Row],[trust_code]],trust_lookup[],4,0)</f>
        <v>Acute</v>
      </c>
      <c r="K98" s="2" t="s">
        <v>518</v>
      </c>
      <c r="L98" s="2" t="s">
        <v>173</v>
      </c>
      <c r="M98" s="2" t="s">
        <v>174</v>
      </c>
      <c r="N98" s="2" t="s">
        <v>27</v>
      </c>
      <c r="O98" s="2" t="s">
        <v>61</v>
      </c>
      <c r="P98" s="2">
        <v>1</v>
      </c>
      <c r="R98" s="43">
        <v>45586</v>
      </c>
      <c r="S98" s="2">
        <v>43</v>
      </c>
      <c r="T98" s="2" t="s">
        <v>519</v>
      </c>
      <c r="U98" s="2" t="s">
        <v>48</v>
      </c>
      <c r="V98" s="2" t="s">
        <v>49</v>
      </c>
      <c r="W98" s="2" t="s">
        <v>192</v>
      </c>
      <c r="X98" s="23">
        <v>118</v>
      </c>
      <c r="Y98" s="23">
        <v>646</v>
      </c>
      <c r="Z98" s="23">
        <v>4118</v>
      </c>
      <c r="AA98" s="24">
        <v>0.156872268091306</v>
      </c>
      <c r="AB98" s="14" t="str">
        <f>VLOOKUP(flu_aw24[[#This Row],[trust_code]],trust_lookup[],3,0)</f>
        <v>CLCH</v>
      </c>
      <c r="AD98" s="43">
        <v>46055</v>
      </c>
      <c r="AE98" s="2">
        <v>6</v>
      </c>
      <c r="AF98" s="2" t="s">
        <v>518</v>
      </c>
      <c r="AG98" s="2" t="s">
        <v>118</v>
      </c>
      <c r="AH98" s="2" t="s">
        <v>119</v>
      </c>
      <c r="AI98" s="2" t="s">
        <v>193</v>
      </c>
      <c r="AJ98" s="23">
        <v>4</v>
      </c>
      <c r="AK98" s="23">
        <v>2304</v>
      </c>
      <c r="AL98" s="23">
        <v>6569</v>
      </c>
      <c r="AM98" s="24">
        <v>0.35073831633429697</v>
      </c>
      <c r="AN98" s="44" t="str">
        <f>VLOOKUP(flu_aw25[[#This Row],[trust_code]],trust_lookup[],3,0)</f>
        <v>L&amp;G</v>
      </c>
      <c r="AP98" s="2" t="s">
        <v>107</v>
      </c>
      <c r="AQ98" s="2" t="s">
        <v>108</v>
      </c>
      <c r="AR98" s="2" t="s">
        <v>193</v>
      </c>
      <c r="AS98" s="2" t="s">
        <v>523</v>
      </c>
      <c r="AT98" s="2">
        <v>1</v>
      </c>
      <c r="AU98" s="44" t="str">
        <f>VLOOKUP(flu_location[[#This Row],[trust_code]],trust_lookup[],3,0)</f>
        <v>King's</v>
      </c>
      <c r="AW98" s="2" t="s">
        <v>89</v>
      </c>
      <c r="AX98" s="2" t="s">
        <v>90</v>
      </c>
      <c r="AY98" s="2" t="s">
        <v>653</v>
      </c>
      <c r="AZ98" s="2">
        <v>2625</v>
      </c>
      <c r="BA98" s="2">
        <v>1138</v>
      </c>
      <c r="BB98" s="44" t="str">
        <f>VLOOKUP(age_group[[#This Row],[trust_code]],trust_lookup[],3,0)</f>
        <v>GSTT</v>
      </c>
    </row>
    <row r="99" spans="1:54" x14ac:dyDescent="0.35">
      <c r="A99" s="2" t="s">
        <v>518</v>
      </c>
      <c r="B99" s="2" t="s">
        <v>118</v>
      </c>
      <c r="C99" s="2" t="s">
        <v>119</v>
      </c>
      <c r="D99" s="2" t="s">
        <v>193</v>
      </c>
      <c r="E99" s="2" t="s">
        <v>60</v>
      </c>
      <c r="F99" s="2">
        <v>572</v>
      </c>
      <c r="G99" s="2">
        <v>247</v>
      </c>
      <c r="H99" s="14" t="str">
        <f>VLOOKUP(flu_group[[#This Row],[trust_code]],trust_lookup[],3,0)</f>
        <v>L&amp;G</v>
      </c>
      <c r="I99" s="14" t="str">
        <f>VLOOKUP(flu_group[[#This Row],[trust_code]],trust_lookup[],4,0)</f>
        <v>Acute</v>
      </c>
      <c r="K99" s="2" t="s">
        <v>518</v>
      </c>
      <c r="L99" s="2" t="s">
        <v>173</v>
      </c>
      <c r="M99" s="2" t="s">
        <v>174</v>
      </c>
      <c r="N99" s="2" t="s">
        <v>27</v>
      </c>
      <c r="O99" s="2" t="s">
        <v>100</v>
      </c>
      <c r="P99" s="2">
        <v>2</v>
      </c>
      <c r="R99" s="43">
        <v>45593</v>
      </c>
      <c r="S99" s="2">
        <v>44</v>
      </c>
      <c r="T99" s="2" t="s">
        <v>519</v>
      </c>
      <c r="U99" s="2" t="s">
        <v>48</v>
      </c>
      <c r="V99" s="2" t="s">
        <v>49</v>
      </c>
      <c r="W99" s="2" t="s">
        <v>192</v>
      </c>
      <c r="X99" s="23">
        <v>99</v>
      </c>
      <c r="Y99" s="23">
        <v>745</v>
      </c>
      <c r="Z99" s="23">
        <v>4118</v>
      </c>
      <c r="AA99" s="24">
        <v>0.18091306459446299</v>
      </c>
      <c r="AB99" s="14" t="str">
        <f>VLOOKUP(flu_aw24[[#This Row],[trust_code]],trust_lookup[],3,0)</f>
        <v>CLCH</v>
      </c>
      <c r="AD99" s="43">
        <v>46062</v>
      </c>
      <c r="AE99" s="2">
        <v>7</v>
      </c>
      <c r="AF99" s="2" t="s">
        <v>518</v>
      </c>
      <c r="AG99" s="2" t="s">
        <v>118</v>
      </c>
      <c r="AH99" s="2" t="s">
        <v>119</v>
      </c>
      <c r="AI99" s="2" t="s">
        <v>193</v>
      </c>
      <c r="AJ99" s="23">
        <v>2</v>
      </c>
      <c r="AK99" s="23">
        <v>2306</v>
      </c>
      <c r="AL99" s="23">
        <v>6569</v>
      </c>
      <c r="AM99" s="24">
        <v>0.351042776678337</v>
      </c>
      <c r="AN99" s="44" t="str">
        <f>VLOOKUP(flu_aw25[[#This Row],[trust_code]],trust_lookup[],3,0)</f>
        <v>L&amp;G</v>
      </c>
      <c r="AP99" s="2" t="s">
        <v>107</v>
      </c>
      <c r="AQ99" s="2" t="s">
        <v>108</v>
      </c>
      <c r="AR99" s="2" t="s">
        <v>193</v>
      </c>
      <c r="AS99" s="2" t="s">
        <v>524</v>
      </c>
      <c r="AT99" s="2">
        <v>5</v>
      </c>
      <c r="AU99" s="44" t="str">
        <f>VLOOKUP(flu_location[[#This Row],[trust_code]],trust_lookup[],3,0)</f>
        <v>King's</v>
      </c>
      <c r="AW99" s="2" t="s">
        <v>89</v>
      </c>
      <c r="AX99" s="2" t="s">
        <v>90</v>
      </c>
      <c r="AY99" s="2" t="s">
        <v>654</v>
      </c>
      <c r="AZ99" s="2">
        <v>2054</v>
      </c>
      <c r="BA99" s="2">
        <v>885</v>
      </c>
      <c r="BB99" s="44" t="str">
        <f>VLOOKUP(age_group[[#This Row],[trust_code]],trust_lookup[],3,0)</f>
        <v>GSTT</v>
      </c>
    </row>
    <row r="100" spans="1:54" x14ac:dyDescent="0.35">
      <c r="A100" s="2" t="s">
        <v>518</v>
      </c>
      <c r="B100" s="2" t="s">
        <v>69</v>
      </c>
      <c r="C100" s="2" t="s">
        <v>70</v>
      </c>
      <c r="D100" s="2" t="s">
        <v>190</v>
      </c>
      <c r="E100" s="2" t="s">
        <v>60</v>
      </c>
      <c r="F100" s="2">
        <v>562</v>
      </c>
      <c r="G100" s="2">
        <v>237</v>
      </c>
      <c r="H100" s="14" t="str">
        <f>VLOOKUP(flu_group[[#This Row],[trust_code]],trust_lookup[],3,0)</f>
        <v>ELFT</v>
      </c>
      <c r="I100" s="14" t="str">
        <f>VLOOKUP(flu_group[[#This Row],[trust_code]],trust_lookup[],4,0)</f>
        <v>Mental Health &amp; Community</v>
      </c>
      <c r="K100" s="2" t="s">
        <v>518</v>
      </c>
      <c r="L100" s="2" t="s">
        <v>173</v>
      </c>
      <c r="M100" s="2" t="s">
        <v>174</v>
      </c>
      <c r="N100" s="2" t="s">
        <v>27</v>
      </c>
      <c r="O100" s="2" t="s">
        <v>75</v>
      </c>
      <c r="P100" s="2">
        <v>1</v>
      </c>
      <c r="R100" s="43">
        <v>45600</v>
      </c>
      <c r="S100" s="2">
        <v>45</v>
      </c>
      <c r="T100" s="2" t="s">
        <v>519</v>
      </c>
      <c r="U100" s="2" t="s">
        <v>48</v>
      </c>
      <c r="V100" s="2" t="s">
        <v>49</v>
      </c>
      <c r="W100" s="2" t="s">
        <v>192</v>
      </c>
      <c r="X100" s="23">
        <v>82</v>
      </c>
      <c r="Y100" s="23">
        <v>827</v>
      </c>
      <c r="Z100" s="23">
        <v>4118</v>
      </c>
      <c r="AA100" s="24">
        <v>0.20082564351627</v>
      </c>
      <c r="AB100" s="14" t="str">
        <f>VLOOKUP(flu_aw24[[#This Row],[trust_code]],trust_lookup[],3,0)</f>
        <v>CLCH</v>
      </c>
      <c r="AD100" s="43">
        <v>46069</v>
      </c>
      <c r="AE100" s="2">
        <v>8</v>
      </c>
      <c r="AF100" s="2" t="s">
        <v>518</v>
      </c>
      <c r="AG100" s="2" t="s">
        <v>118</v>
      </c>
      <c r="AH100" s="2" t="s">
        <v>119</v>
      </c>
      <c r="AI100" s="2" t="s">
        <v>193</v>
      </c>
      <c r="AJ100" s="23">
        <v>3</v>
      </c>
      <c r="AK100" s="23">
        <v>2309</v>
      </c>
      <c r="AL100" s="23">
        <v>6569</v>
      </c>
      <c r="AM100" s="24">
        <v>0.35149946719439701</v>
      </c>
      <c r="AN100" s="44" t="str">
        <f>VLOOKUP(flu_aw25[[#This Row],[trust_code]],trust_lookup[],3,0)</f>
        <v>L&amp;G</v>
      </c>
      <c r="AP100" s="2" t="s">
        <v>118</v>
      </c>
      <c r="AQ100" s="2" t="s">
        <v>119</v>
      </c>
      <c r="AR100" s="2" t="s">
        <v>193</v>
      </c>
      <c r="AS100" s="2" t="s">
        <v>520</v>
      </c>
      <c r="AT100" s="2">
        <v>302</v>
      </c>
      <c r="AU100" s="44" t="str">
        <f>VLOOKUP(flu_location[[#This Row],[trust_code]],trust_lookup[],3,0)</f>
        <v>L&amp;G</v>
      </c>
      <c r="AW100" s="2" t="s">
        <v>89</v>
      </c>
      <c r="AX100" s="2" t="s">
        <v>90</v>
      </c>
      <c r="AY100" s="2" t="s">
        <v>655</v>
      </c>
      <c r="AZ100" s="2">
        <v>1893</v>
      </c>
      <c r="BA100" s="2">
        <v>796</v>
      </c>
      <c r="BB100" s="44" t="str">
        <f>VLOOKUP(age_group[[#This Row],[trust_code]],trust_lookup[],3,0)</f>
        <v>GSTT</v>
      </c>
    </row>
    <row r="101" spans="1:54" x14ac:dyDescent="0.35">
      <c r="A101" s="2" t="s">
        <v>518</v>
      </c>
      <c r="B101" s="2" t="s">
        <v>161</v>
      </c>
      <c r="C101" s="2" t="s">
        <v>162</v>
      </c>
      <c r="D101" s="2" t="s">
        <v>27</v>
      </c>
      <c r="E101" s="2" t="s">
        <v>60</v>
      </c>
      <c r="F101" s="2">
        <v>154</v>
      </c>
      <c r="G101" s="2">
        <v>79</v>
      </c>
      <c r="H101" s="14" t="str">
        <f>VLOOKUP(flu_group[[#This Row],[trust_code]],trust_lookup[],3,0)</f>
        <v>RNOH</v>
      </c>
      <c r="I101" s="14" t="str">
        <f>VLOOKUP(flu_group[[#This Row],[trust_code]],trust_lookup[],4,0)</f>
        <v>Specialist</v>
      </c>
      <c r="K101" s="2" t="s">
        <v>518</v>
      </c>
      <c r="L101" s="2" t="s">
        <v>173</v>
      </c>
      <c r="M101" s="2" t="s">
        <v>174</v>
      </c>
      <c r="N101" s="2" t="s">
        <v>27</v>
      </c>
      <c r="O101" s="2" t="s">
        <v>106</v>
      </c>
      <c r="P101" s="2">
        <v>1</v>
      </c>
      <c r="R101" s="43">
        <v>45607</v>
      </c>
      <c r="S101" s="2">
        <v>46</v>
      </c>
      <c r="T101" s="2" t="s">
        <v>519</v>
      </c>
      <c r="U101" s="2" t="s">
        <v>48</v>
      </c>
      <c r="V101" s="2" t="s">
        <v>49</v>
      </c>
      <c r="W101" s="2" t="s">
        <v>192</v>
      </c>
      <c r="X101" s="23">
        <v>87</v>
      </c>
      <c r="Y101" s="23">
        <v>914</v>
      </c>
      <c r="Z101" s="23">
        <v>4118</v>
      </c>
      <c r="AA101" s="24">
        <v>0.22195240407965</v>
      </c>
      <c r="AB101" s="14" t="str">
        <f>VLOOKUP(flu_aw24[[#This Row],[trust_code]],trust_lookup[],3,0)</f>
        <v>CLCH</v>
      </c>
      <c r="AD101" s="43">
        <v>46076</v>
      </c>
      <c r="AE101" s="2">
        <v>9</v>
      </c>
      <c r="AF101" s="2" t="s">
        <v>518</v>
      </c>
      <c r="AG101" s="2" t="s">
        <v>118</v>
      </c>
      <c r="AH101" s="2" t="s">
        <v>119</v>
      </c>
      <c r="AI101" s="2" t="s">
        <v>193</v>
      </c>
      <c r="AJ101" s="23">
        <v>1</v>
      </c>
      <c r="AK101" s="23">
        <v>2310</v>
      </c>
      <c r="AL101" s="23">
        <v>6569</v>
      </c>
      <c r="AM101" s="24">
        <v>0.35165169736641799</v>
      </c>
      <c r="AN101" s="44" t="str">
        <f>VLOOKUP(flu_aw25[[#This Row],[trust_code]],trust_lookup[],3,0)</f>
        <v>L&amp;G</v>
      </c>
      <c r="AP101" s="2" t="s">
        <v>118</v>
      </c>
      <c r="AQ101" s="2" t="s">
        <v>119</v>
      </c>
      <c r="AR101" s="2" t="s">
        <v>193</v>
      </c>
      <c r="AS101" s="2" t="s">
        <v>521</v>
      </c>
      <c r="AT101" s="2">
        <v>1744</v>
      </c>
      <c r="AU101" s="44" t="str">
        <f>VLOOKUP(flu_location[[#This Row],[trust_code]],trust_lookup[],3,0)</f>
        <v>L&amp;G</v>
      </c>
      <c r="AW101" s="2" t="s">
        <v>89</v>
      </c>
      <c r="AX101" s="2" t="s">
        <v>90</v>
      </c>
      <c r="AY101" s="2" t="s">
        <v>656</v>
      </c>
      <c r="AZ101" s="2">
        <v>1785</v>
      </c>
      <c r="BA101" s="2">
        <v>766</v>
      </c>
      <c r="BB101" s="44" t="str">
        <f>VLOOKUP(age_group[[#This Row],[trust_code]],trust_lookup[],3,0)</f>
        <v>GSTT</v>
      </c>
    </row>
    <row r="102" spans="1:54" x14ac:dyDescent="0.35">
      <c r="A102" s="2" t="s">
        <v>518</v>
      </c>
      <c r="B102" s="2" t="s">
        <v>76</v>
      </c>
      <c r="C102" s="2" t="s">
        <v>77</v>
      </c>
      <c r="D102" s="2" t="s">
        <v>194</v>
      </c>
      <c r="E102" s="2" t="s">
        <v>60</v>
      </c>
      <c r="F102" s="2">
        <v>581</v>
      </c>
      <c r="G102" s="2">
        <v>301</v>
      </c>
      <c r="H102" s="14" t="str">
        <f>VLOOKUP(flu_group[[#This Row],[trust_code]],trust_lookup[],3,0)</f>
        <v>Epsom</v>
      </c>
      <c r="I102" s="14" t="str">
        <f>VLOOKUP(flu_group[[#This Row],[trust_code]],trust_lookup[],4,0)</f>
        <v>Acute</v>
      </c>
      <c r="K102" s="2" t="s">
        <v>518</v>
      </c>
      <c r="L102" s="2" t="s">
        <v>173</v>
      </c>
      <c r="M102" s="2" t="s">
        <v>174</v>
      </c>
      <c r="N102" s="2" t="s">
        <v>27</v>
      </c>
      <c r="O102" s="2" t="s">
        <v>112</v>
      </c>
      <c r="P102" s="2">
        <v>6</v>
      </c>
      <c r="R102" s="43">
        <v>45614</v>
      </c>
      <c r="S102" s="2">
        <v>47</v>
      </c>
      <c r="T102" s="2" t="s">
        <v>519</v>
      </c>
      <c r="U102" s="2" t="s">
        <v>48</v>
      </c>
      <c r="V102" s="2" t="s">
        <v>49</v>
      </c>
      <c r="W102" s="2" t="s">
        <v>192</v>
      </c>
      <c r="X102" s="23">
        <v>68</v>
      </c>
      <c r="Y102" s="23">
        <v>982</v>
      </c>
      <c r="Z102" s="23">
        <v>4118</v>
      </c>
      <c r="AA102" s="24">
        <v>0.238465274405051</v>
      </c>
      <c r="AB102" s="14" t="str">
        <f>VLOOKUP(flu_aw24[[#This Row],[trust_code]],trust_lookup[],3,0)</f>
        <v>CLCH</v>
      </c>
      <c r="AD102" s="43">
        <v>45915</v>
      </c>
      <c r="AE102" s="2">
        <v>38</v>
      </c>
      <c r="AF102" s="2" t="s">
        <v>518</v>
      </c>
      <c r="AG102" s="2" t="s">
        <v>95</v>
      </c>
      <c r="AH102" s="2" t="s">
        <v>96</v>
      </c>
      <c r="AI102" s="2" t="s">
        <v>190</v>
      </c>
      <c r="AJ102" s="23">
        <v>1</v>
      </c>
      <c r="AK102" s="23">
        <v>1</v>
      </c>
      <c r="AL102" s="23">
        <v>3664</v>
      </c>
      <c r="AM102" s="24">
        <v>2.7292576419213902E-4</v>
      </c>
      <c r="AN102" s="44" t="str">
        <f>VLOOKUP(flu_aw25[[#This Row],[trust_code]],trust_lookup[],3,0)</f>
        <v>Homerton</v>
      </c>
      <c r="AP102" s="2" t="s">
        <v>118</v>
      </c>
      <c r="AQ102" s="2" t="s">
        <v>119</v>
      </c>
      <c r="AR102" s="2" t="s">
        <v>193</v>
      </c>
      <c r="AS102" s="2" t="s">
        <v>522</v>
      </c>
      <c r="AT102" s="2">
        <v>290</v>
      </c>
      <c r="AU102" s="44" t="str">
        <f>VLOOKUP(flu_location[[#This Row],[trust_code]],trust_lookup[],3,0)</f>
        <v>L&amp;G</v>
      </c>
      <c r="AW102" s="2" t="s">
        <v>89</v>
      </c>
      <c r="AX102" s="2" t="s">
        <v>90</v>
      </c>
      <c r="AY102" s="2" t="s">
        <v>657</v>
      </c>
      <c r="AZ102" s="2">
        <v>1371</v>
      </c>
      <c r="BA102" s="2">
        <v>638</v>
      </c>
      <c r="BB102" s="44" t="str">
        <f>VLOOKUP(age_group[[#This Row],[trust_code]],trust_lookup[],3,0)</f>
        <v>GSTT</v>
      </c>
    </row>
    <row r="103" spans="1:54" x14ac:dyDescent="0.35">
      <c r="A103" s="2" t="s">
        <v>518</v>
      </c>
      <c r="B103" s="2" t="s">
        <v>30</v>
      </c>
      <c r="C103" s="2" t="s">
        <v>31</v>
      </c>
      <c r="D103" s="2" t="s">
        <v>190</v>
      </c>
      <c r="E103" s="2" t="s">
        <v>60</v>
      </c>
      <c r="F103" s="2">
        <v>512</v>
      </c>
      <c r="G103" s="2">
        <v>205</v>
      </c>
      <c r="H103" s="14" t="str">
        <f>VLOOKUP(flu_group[[#This Row],[trust_code]],trust_lookup[],3,0)</f>
        <v>BHR</v>
      </c>
      <c r="I103" s="14" t="str">
        <f>VLOOKUP(flu_group[[#This Row],[trust_code]],trust_lookup[],4,0)</f>
        <v>Acute</v>
      </c>
      <c r="K103" s="2" t="s">
        <v>518</v>
      </c>
      <c r="L103" s="2" t="s">
        <v>173</v>
      </c>
      <c r="M103" s="2" t="s">
        <v>174</v>
      </c>
      <c r="N103" s="2" t="s">
        <v>27</v>
      </c>
      <c r="O103" s="2" t="s">
        <v>36</v>
      </c>
      <c r="P103" s="2">
        <v>9</v>
      </c>
      <c r="R103" s="43">
        <v>45621</v>
      </c>
      <c r="S103" s="2">
        <v>48</v>
      </c>
      <c r="T103" s="2" t="s">
        <v>519</v>
      </c>
      <c r="U103" s="2" t="s">
        <v>48</v>
      </c>
      <c r="V103" s="2" t="s">
        <v>49</v>
      </c>
      <c r="W103" s="2" t="s">
        <v>192</v>
      </c>
      <c r="X103" s="23">
        <v>47</v>
      </c>
      <c r="Y103" s="23">
        <v>1029</v>
      </c>
      <c r="Z103" s="23">
        <v>4118</v>
      </c>
      <c r="AA103" s="24">
        <v>0.249878581835842</v>
      </c>
      <c r="AB103" s="14" t="str">
        <f>VLOOKUP(flu_aw24[[#This Row],[trust_code]],trust_lookup[],3,0)</f>
        <v>CLCH</v>
      </c>
      <c r="AD103" s="43">
        <v>45922</v>
      </c>
      <c r="AE103" s="2">
        <v>39</v>
      </c>
      <c r="AF103" s="2" t="s">
        <v>518</v>
      </c>
      <c r="AG103" s="2" t="s">
        <v>95</v>
      </c>
      <c r="AH103" s="2" t="s">
        <v>96</v>
      </c>
      <c r="AI103" s="2" t="s">
        <v>190</v>
      </c>
      <c r="AJ103" s="23">
        <v>3</v>
      </c>
      <c r="AK103" s="23">
        <v>4</v>
      </c>
      <c r="AL103" s="23">
        <v>3664</v>
      </c>
      <c r="AM103" s="24">
        <v>1.09170305676855E-3</v>
      </c>
      <c r="AN103" s="44" t="str">
        <f>VLOOKUP(flu_aw25[[#This Row],[trust_code]],trust_lookup[],3,0)</f>
        <v>Homerton</v>
      </c>
      <c r="AP103" s="2" t="s">
        <v>118</v>
      </c>
      <c r="AQ103" s="2" t="s">
        <v>119</v>
      </c>
      <c r="AR103" s="2" t="s">
        <v>193</v>
      </c>
      <c r="AS103" s="2" t="s">
        <v>524</v>
      </c>
      <c r="AT103" s="2">
        <v>2</v>
      </c>
      <c r="AU103" s="44" t="str">
        <f>VLOOKUP(flu_location[[#This Row],[trust_code]],trust_lookup[],3,0)</f>
        <v>L&amp;G</v>
      </c>
      <c r="AW103" s="2" t="s">
        <v>89</v>
      </c>
      <c r="AX103" s="2" t="s">
        <v>90</v>
      </c>
      <c r="AY103" s="2" t="s">
        <v>658</v>
      </c>
      <c r="AZ103" s="2">
        <v>916</v>
      </c>
      <c r="BA103" s="2">
        <v>453</v>
      </c>
      <c r="BB103" s="44" t="str">
        <f>VLOOKUP(age_group[[#This Row],[trust_code]],trust_lookup[],3,0)</f>
        <v>GSTT</v>
      </c>
    </row>
    <row r="104" spans="1:54" x14ac:dyDescent="0.35">
      <c r="A104" s="2" t="s">
        <v>518</v>
      </c>
      <c r="B104" s="2" t="s">
        <v>170</v>
      </c>
      <c r="C104" s="2" t="s">
        <v>171</v>
      </c>
      <c r="D104" s="2" t="s">
        <v>194</v>
      </c>
      <c r="E104" s="2" t="s">
        <v>60</v>
      </c>
      <c r="F104" s="2">
        <v>607</v>
      </c>
      <c r="G104" s="2">
        <v>291</v>
      </c>
      <c r="H104" s="14" t="str">
        <f>VLOOKUP(flu_group[[#This Row],[trust_code]],trust_lookup[],3,0)</f>
        <v>St George's</v>
      </c>
      <c r="I104" s="14" t="str">
        <f>VLOOKUP(flu_group[[#This Row],[trust_code]],trust_lookup[],4,0)</f>
        <v>Acute</v>
      </c>
      <c r="K104" s="2" t="s">
        <v>518</v>
      </c>
      <c r="L104" s="2" t="s">
        <v>182</v>
      </c>
      <c r="M104" s="2" t="s">
        <v>183</v>
      </c>
      <c r="N104" s="2" t="s">
        <v>27</v>
      </c>
      <c r="O104" s="2" t="s">
        <v>68</v>
      </c>
      <c r="P104" s="2">
        <v>1359</v>
      </c>
      <c r="R104" s="43">
        <v>45628</v>
      </c>
      <c r="S104" s="2">
        <v>49</v>
      </c>
      <c r="T104" s="2" t="s">
        <v>519</v>
      </c>
      <c r="U104" s="2" t="s">
        <v>48</v>
      </c>
      <c r="V104" s="2" t="s">
        <v>49</v>
      </c>
      <c r="W104" s="2" t="s">
        <v>192</v>
      </c>
      <c r="X104" s="23">
        <v>23</v>
      </c>
      <c r="Y104" s="23">
        <v>1052</v>
      </c>
      <c r="Z104" s="23">
        <v>4118</v>
      </c>
      <c r="AA104" s="24">
        <v>0.25546381738708102</v>
      </c>
      <c r="AB104" s="14" t="str">
        <f>VLOOKUP(flu_aw24[[#This Row],[trust_code]],trust_lookup[],3,0)</f>
        <v>CLCH</v>
      </c>
      <c r="AD104" s="43">
        <v>45929</v>
      </c>
      <c r="AE104" s="2">
        <v>40</v>
      </c>
      <c r="AF104" s="2" t="s">
        <v>518</v>
      </c>
      <c r="AG104" s="2" t="s">
        <v>95</v>
      </c>
      <c r="AH104" s="2" t="s">
        <v>96</v>
      </c>
      <c r="AI104" s="2" t="s">
        <v>190</v>
      </c>
      <c r="AJ104" s="23">
        <v>56</v>
      </c>
      <c r="AK104" s="23">
        <v>60</v>
      </c>
      <c r="AL104" s="23">
        <v>3664</v>
      </c>
      <c r="AM104" s="24">
        <v>1.6375545851528301E-2</v>
      </c>
      <c r="AN104" s="44" t="str">
        <f>VLOOKUP(flu_aw25[[#This Row],[trust_code]],trust_lookup[],3,0)</f>
        <v>Homerton</v>
      </c>
      <c r="AP104" s="2" t="s">
        <v>152</v>
      </c>
      <c r="AQ104" s="2" t="s">
        <v>153</v>
      </c>
      <c r="AR104" s="2" t="s">
        <v>193</v>
      </c>
      <c r="AS104" s="2" t="s">
        <v>520</v>
      </c>
      <c r="AT104" s="2">
        <v>213</v>
      </c>
      <c r="AU104" s="44" t="str">
        <f>VLOOKUP(flu_location[[#This Row],[trust_code]],trust_lookup[],3,0)</f>
        <v>Oxleas</v>
      </c>
      <c r="AW104" s="2" t="s">
        <v>89</v>
      </c>
      <c r="AX104" s="2" t="s">
        <v>90</v>
      </c>
      <c r="AY104" s="2" t="s">
        <v>659</v>
      </c>
      <c r="AZ104" s="2">
        <v>583</v>
      </c>
      <c r="BA104" s="2">
        <v>344</v>
      </c>
      <c r="BB104" s="44" t="str">
        <f>VLOOKUP(age_group[[#This Row],[trust_code]],trust_lookup[],3,0)</f>
        <v>GSTT</v>
      </c>
    </row>
    <row r="105" spans="1:54" x14ac:dyDescent="0.35">
      <c r="A105" s="2" t="s">
        <v>518</v>
      </c>
      <c r="B105" s="2" t="s">
        <v>157</v>
      </c>
      <c r="C105" s="2" t="s">
        <v>158</v>
      </c>
      <c r="D105" s="2" t="s">
        <v>27</v>
      </c>
      <c r="E105" s="2" t="s">
        <v>60</v>
      </c>
      <c r="F105" s="2">
        <v>1428</v>
      </c>
      <c r="G105" s="2">
        <v>581</v>
      </c>
      <c r="H105" s="14" t="str">
        <f>VLOOKUP(flu_group[[#This Row],[trust_code]],trust_lookup[],3,0)</f>
        <v>Royal Free</v>
      </c>
      <c r="I105" s="14" t="str">
        <f>VLOOKUP(flu_group[[#This Row],[trust_code]],trust_lookup[],4,0)</f>
        <v>Acute</v>
      </c>
      <c r="K105" s="2" t="s">
        <v>518</v>
      </c>
      <c r="L105" s="2" t="s">
        <v>182</v>
      </c>
      <c r="M105" s="2" t="s">
        <v>183</v>
      </c>
      <c r="N105" s="2" t="s">
        <v>27</v>
      </c>
      <c r="O105" s="2" t="s">
        <v>135</v>
      </c>
      <c r="P105" s="2">
        <v>77</v>
      </c>
      <c r="R105" s="43">
        <v>45635</v>
      </c>
      <c r="S105" s="2">
        <v>50</v>
      </c>
      <c r="T105" s="2" t="s">
        <v>519</v>
      </c>
      <c r="U105" s="2" t="s">
        <v>48</v>
      </c>
      <c r="V105" s="2" t="s">
        <v>49</v>
      </c>
      <c r="W105" s="2" t="s">
        <v>192</v>
      </c>
      <c r="X105" s="23">
        <v>48</v>
      </c>
      <c r="Y105" s="23">
        <v>1100</v>
      </c>
      <c r="Z105" s="23">
        <v>4118</v>
      </c>
      <c r="AA105" s="24">
        <v>0.26711996114618702</v>
      </c>
      <c r="AB105" s="14" t="str">
        <f>VLOOKUP(flu_aw24[[#This Row],[trust_code]],trust_lookup[],3,0)</f>
        <v>CLCH</v>
      </c>
      <c r="AD105" s="43">
        <v>45936</v>
      </c>
      <c r="AE105" s="2">
        <v>41</v>
      </c>
      <c r="AF105" s="2" t="s">
        <v>518</v>
      </c>
      <c r="AG105" s="2" t="s">
        <v>95</v>
      </c>
      <c r="AH105" s="2" t="s">
        <v>96</v>
      </c>
      <c r="AI105" s="2" t="s">
        <v>190</v>
      </c>
      <c r="AJ105" s="23">
        <v>310</v>
      </c>
      <c r="AK105" s="23">
        <v>370</v>
      </c>
      <c r="AL105" s="23">
        <v>3664</v>
      </c>
      <c r="AM105" s="24">
        <v>0.10098253275109099</v>
      </c>
      <c r="AN105" s="44" t="str">
        <f>VLOOKUP(flu_aw25[[#This Row],[trust_code]],trust_lookup[],3,0)</f>
        <v>Homerton</v>
      </c>
      <c r="AP105" s="2" t="s">
        <v>152</v>
      </c>
      <c r="AQ105" s="2" t="s">
        <v>153</v>
      </c>
      <c r="AR105" s="2" t="s">
        <v>193</v>
      </c>
      <c r="AS105" s="2" t="s">
        <v>521</v>
      </c>
      <c r="AT105" s="2">
        <v>804</v>
      </c>
      <c r="AU105" s="44" t="str">
        <f>VLOOKUP(flu_location[[#This Row],[trust_code]],trust_lookup[],3,0)</f>
        <v>Oxleas</v>
      </c>
      <c r="AW105" s="2" t="s">
        <v>95</v>
      </c>
      <c r="AX105" s="2" t="s">
        <v>96</v>
      </c>
      <c r="AY105" s="2" t="s">
        <v>650</v>
      </c>
      <c r="AZ105" s="2">
        <v>131</v>
      </c>
      <c r="BA105" s="2">
        <v>46</v>
      </c>
      <c r="BB105" s="44" t="str">
        <f>VLOOKUP(age_group[[#This Row],[trust_code]],trust_lookup[],3,0)</f>
        <v>Homerton</v>
      </c>
    </row>
    <row r="106" spans="1:54" x14ac:dyDescent="0.35">
      <c r="A106" s="2" t="s">
        <v>518</v>
      </c>
      <c r="B106" s="2" t="s">
        <v>187</v>
      </c>
      <c r="C106" s="2" t="s">
        <v>188</v>
      </c>
      <c r="D106" s="2" t="s">
        <v>192</v>
      </c>
      <c r="E106" s="2" t="s">
        <v>60</v>
      </c>
      <c r="F106" s="2">
        <v>382</v>
      </c>
      <c r="G106" s="2">
        <v>162</v>
      </c>
      <c r="H106" s="14" t="str">
        <f>VLOOKUP(flu_group[[#This Row],[trust_code]],trust_lookup[],3,0)</f>
        <v>West London</v>
      </c>
      <c r="I106" s="14" t="str">
        <f>VLOOKUP(flu_group[[#This Row],[trust_code]],trust_lookup[],4,0)</f>
        <v>Mental Health &amp; Community</v>
      </c>
      <c r="K106" s="2" t="s">
        <v>518</v>
      </c>
      <c r="L106" s="2" t="s">
        <v>182</v>
      </c>
      <c r="M106" s="2" t="s">
        <v>183</v>
      </c>
      <c r="N106" s="2" t="s">
        <v>27</v>
      </c>
      <c r="O106" s="2" t="s">
        <v>54</v>
      </c>
      <c r="P106" s="2">
        <v>466</v>
      </c>
      <c r="R106" s="43">
        <v>45642</v>
      </c>
      <c r="S106" s="2">
        <v>51</v>
      </c>
      <c r="T106" s="2" t="s">
        <v>519</v>
      </c>
      <c r="U106" s="2" t="s">
        <v>48</v>
      </c>
      <c r="V106" s="2" t="s">
        <v>49</v>
      </c>
      <c r="W106" s="2" t="s">
        <v>192</v>
      </c>
      <c r="X106" s="23">
        <v>68</v>
      </c>
      <c r="Y106" s="23">
        <v>1168</v>
      </c>
      <c r="Z106" s="23">
        <v>4118</v>
      </c>
      <c r="AA106" s="24">
        <v>0.28363283147158802</v>
      </c>
      <c r="AB106" s="14" t="str">
        <f>VLOOKUP(flu_aw24[[#This Row],[trust_code]],trust_lookup[],3,0)</f>
        <v>CLCH</v>
      </c>
      <c r="AD106" s="43">
        <v>45943</v>
      </c>
      <c r="AE106" s="2">
        <v>42</v>
      </c>
      <c r="AF106" s="2" t="s">
        <v>518</v>
      </c>
      <c r="AG106" s="2" t="s">
        <v>95</v>
      </c>
      <c r="AH106" s="2" t="s">
        <v>96</v>
      </c>
      <c r="AI106" s="2" t="s">
        <v>190</v>
      </c>
      <c r="AJ106" s="23">
        <v>217</v>
      </c>
      <c r="AK106" s="23">
        <v>587</v>
      </c>
      <c r="AL106" s="23">
        <v>3664</v>
      </c>
      <c r="AM106" s="24">
        <v>0.16020742358078599</v>
      </c>
      <c r="AN106" s="44" t="str">
        <f>VLOOKUP(flu_aw25[[#This Row],[trust_code]],trust_lookup[],3,0)</f>
        <v>Homerton</v>
      </c>
      <c r="AP106" s="2" t="s">
        <v>152</v>
      </c>
      <c r="AQ106" s="2" t="s">
        <v>153</v>
      </c>
      <c r="AR106" s="2" t="s">
        <v>193</v>
      </c>
      <c r="AS106" s="2" t="s">
        <v>522</v>
      </c>
      <c r="AT106" s="2">
        <v>152</v>
      </c>
      <c r="AU106" s="44" t="str">
        <f>VLOOKUP(flu_location[[#This Row],[trust_code]],trust_lookup[],3,0)</f>
        <v>Oxleas</v>
      </c>
      <c r="AW106" s="2" t="s">
        <v>95</v>
      </c>
      <c r="AX106" s="2" t="s">
        <v>96</v>
      </c>
      <c r="AY106" s="2" t="s">
        <v>651</v>
      </c>
      <c r="AZ106" s="2">
        <v>527</v>
      </c>
      <c r="BA106" s="2">
        <v>223</v>
      </c>
      <c r="BB106" s="44" t="str">
        <f>VLOOKUP(age_group[[#This Row],[trust_code]],trust_lookup[],3,0)</f>
        <v>Homerton</v>
      </c>
    </row>
    <row r="107" spans="1:54" x14ac:dyDescent="0.35">
      <c r="A107" s="2" t="s">
        <v>518</v>
      </c>
      <c r="B107" s="2" t="s">
        <v>147</v>
      </c>
      <c r="C107" s="2" t="s">
        <v>148</v>
      </c>
      <c r="D107" s="2" t="s">
        <v>27</v>
      </c>
      <c r="E107" s="2" t="s">
        <v>60</v>
      </c>
      <c r="F107" s="2">
        <v>278</v>
      </c>
      <c r="G107" s="2">
        <v>107</v>
      </c>
      <c r="H107" s="14" t="str">
        <f>VLOOKUP(flu_group[[#This Row],[trust_code]],trust_lookup[],3,0)</f>
        <v>North London</v>
      </c>
      <c r="I107" s="14" t="str">
        <f>VLOOKUP(flu_group[[#This Row],[trust_code]],trust_lookup[],4,0)</f>
        <v>Mental Health</v>
      </c>
      <c r="K107" s="2" t="s">
        <v>518</v>
      </c>
      <c r="L107" s="2" t="s">
        <v>182</v>
      </c>
      <c r="M107" s="2" t="s">
        <v>183</v>
      </c>
      <c r="N107" s="2" t="s">
        <v>27</v>
      </c>
      <c r="O107" s="2" t="s">
        <v>129</v>
      </c>
      <c r="P107" s="2">
        <v>11</v>
      </c>
      <c r="R107" s="43">
        <v>45649</v>
      </c>
      <c r="S107" s="2">
        <v>52</v>
      </c>
      <c r="T107" s="2" t="s">
        <v>519</v>
      </c>
      <c r="U107" s="2" t="s">
        <v>48</v>
      </c>
      <c r="V107" s="2" t="s">
        <v>49</v>
      </c>
      <c r="W107" s="2" t="s">
        <v>192</v>
      </c>
      <c r="X107" s="23">
        <v>7</v>
      </c>
      <c r="Y107" s="23">
        <v>1175</v>
      </c>
      <c r="Z107" s="23">
        <v>4118</v>
      </c>
      <c r="AA107" s="24">
        <v>0.28533268576979098</v>
      </c>
      <c r="AB107" s="14" t="str">
        <f>VLOOKUP(flu_aw24[[#This Row],[trust_code]],trust_lookup[],3,0)</f>
        <v>CLCH</v>
      </c>
      <c r="AD107" s="43">
        <v>45950</v>
      </c>
      <c r="AE107" s="2">
        <v>43</v>
      </c>
      <c r="AF107" s="2" t="s">
        <v>518</v>
      </c>
      <c r="AG107" s="2" t="s">
        <v>95</v>
      </c>
      <c r="AH107" s="2" t="s">
        <v>96</v>
      </c>
      <c r="AI107" s="2" t="s">
        <v>190</v>
      </c>
      <c r="AJ107" s="23">
        <v>165</v>
      </c>
      <c r="AK107" s="23">
        <v>752</v>
      </c>
      <c r="AL107" s="23">
        <v>3664</v>
      </c>
      <c r="AM107" s="24">
        <v>0.20524017467248901</v>
      </c>
      <c r="AN107" s="44" t="str">
        <f>VLOOKUP(flu_aw25[[#This Row],[trust_code]],trust_lookup[],3,0)</f>
        <v>Homerton</v>
      </c>
      <c r="AP107" s="2" t="s">
        <v>152</v>
      </c>
      <c r="AQ107" s="2" t="s">
        <v>153</v>
      </c>
      <c r="AR107" s="2" t="s">
        <v>193</v>
      </c>
      <c r="AS107" s="2" t="s">
        <v>524</v>
      </c>
      <c r="AT107" s="2">
        <v>1</v>
      </c>
      <c r="AU107" s="44" t="str">
        <f>VLOOKUP(flu_location[[#This Row],[trust_code]],trust_lookup[],3,0)</f>
        <v>Oxleas</v>
      </c>
      <c r="AW107" s="2" t="s">
        <v>95</v>
      </c>
      <c r="AX107" s="2" t="s">
        <v>96</v>
      </c>
      <c r="AY107" s="2" t="s">
        <v>652</v>
      </c>
      <c r="AZ107" s="2">
        <v>533</v>
      </c>
      <c r="BA107" s="2">
        <v>251</v>
      </c>
      <c r="BB107" s="44" t="str">
        <f>VLOOKUP(age_group[[#This Row],[trust_code]],trust_lookup[],3,0)</f>
        <v>Homerton</v>
      </c>
    </row>
    <row r="108" spans="1:54" x14ac:dyDescent="0.35">
      <c r="A108" s="2" t="s">
        <v>518</v>
      </c>
      <c r="B108" s="2" t="s">
        <v>83</v>
      </c>
      <c r="C108" s="2" t="s">
        <v>84</v>
      </c>
      <c r="D108" s="2" t="s">
        <v>27</v>
      </c>
      <c r="E108" s="2" t="s">
        <v>60</v>
      </c>
      <c r="F108" s="2">
        <v>266</v>
      </c>
      <c r="G108" s="2">
        <v>169</v>
      </c>
      <c r="H108" s="14" t="str">
        <f>VLOOKUP(flu_group[[#This Row],[trust_code]],trust_lookup[],3,0)</f>
        <v>GOSH</v>
      </c>
      <c r="I108" s="14" t="str">
        <f>VLOOKUP(flu_group[[#This Row],[trust_code]],trust_lookup[],4,0)</f>
        <v>Specialist</v>
      </c>
      <c r="K108" s="2" t="s">
        <v>518</v>
      </c>
      <c r="L108" s="2" t="s">
        <v>182</v>
      </c>
      <c r="M108" s="2" t="s">
        <v>183</v>
      </c>
      <c r="N108" s="2" t="s">
        <v>27</v>
      </c>
      <c r="O108" s="2" t="s">
        <v>47</v>
      </c>
      <c r="P108" s="2">
        <v>14</v>
      </c>
      <c r="R108" s="43">
        <v>45656</v>
      </c>
      <c r="S108" s="2">
        <v>1</v>
      </c>
      <c r="T108" s="2" t="s">
        <v>519</v>
      </c>
      <c r="U108" s="2" t="s">
        <v>48</v>
      </c>
      <c r="V108" s="2" t="s">
        <v>49</v>
      </c>
      <c r="W108" s="2" t="s">
        <v>192</v>
      </c>
      <c r="X108" s="23">
        <v>3</v>
      </c>
      <c r="Y108" s="23">
        <v>1178</v>
      </c>
      <c r="Z108" s="23">
        <v>4118</v>
      </c>
      <c r="AA108" s="24">
        <v>0.28606119475473502</v>
      </c>
      <c r="AB108" s="14" t="str">
        <f>VLOOKUP(flu_aw24[[#This Row],[trust_code]],trust_lookup[],3,0)</f>
        <v>CLCH</v>
      </c>
      <c r="AD108" s="43">
        <v>45957</v>
      </c>
      <c r="AE108" s="2">
        <v>44</v>
      </c>
      <c r="AF108" s="2" t="s">
        <v>518</v>
      </c>
      <c r="AG108" s="2" t="s">
        <v>95</v>
      </c>
      <c r="AH108" s="2" t="s">
        <v>96</v>
      </c>
      <c r="AI108" s="2" t="s">
        <v>190</v>
      </c>
      <c r="AJ108" s="23">
        <v>153</v>
      </c>
      <c r="AK108" s="23">
        <v>905</v>
      </c>
      <c r="AL108" s="23">
        <v>3664</v>
      </c>
      <c r="AM108" s="24">
        <v>0.246997816593886</v>
      </c>
      <c r="AN108" s="44" t="str">
        <f>VLOOKUP(flu_aw25[[#This Row],[trust_code]],trust_lookup[],3,0)</f>
        <v>Homerton</v>
      </c>
      <c r="AP108" s="2" t="s">
        <v>164</v>
      </c>
      <c r="AQ108" s="2" t="s">
        <v>165</v>
      </c>
      <c r="AR108" s="2" t="s">
        <v>193</v>
      </c>
      <c r="AS108" s="2" t="s">
        <v>520</v>
      </c>
      <c r="AT108" s="2">
        <v>276</v>
      </c>
      <c r="AU108" s="44" t="str">
        <f>VLOOKUP(flu_location[[#This Row],[trust_code]],trust_lookup[],3,0)</f>
        <v>SLAM</v>
      </c>
      <c r="AW108" s="2" t="s">
        <v>95</v>
      </c>
      <c r="AX108" s="2" t="s">
        <v>96</v>
      </c>
      <c r="AY108" s="2" t="s">
        <v>653</v>
      </c>
      <c r="AZ108" s="2">
        <v>540</v>
      </c>
      <c r="BA108" s="2">
        <v>255</v>
      </c>
      <c r="BB108" s="44" t="str">
        <f>VLOOKUP(age_group[[#This Row],[trust_code]],trust_lookup[],3,0)</f>
        <v>Homerton</v>
      </c>
    </row>
    <row r="109" spans="1:54" x14ac:dyDescent="0.35">
      <c r="A109" s="2" t="s">
        <v>518</v>
      </c>
      <c r="B109" s="2" t="s">
        <v>37</v>
      </c>
      <c r="C109" s="2" t="s">
        <v>38</v>
      </c>
      <c r="D109" s="2" t="s">
        <v>190</v>
      </c>
      <c r="E109" s="2" t="s">
        <v>60</v>
      </c>
      <c r="F109" s="2">
        <v>1698</v>
      </c>
      <c r="G109" s="2">
        <v>588</v>
      </c>
      <c r="H109" s="14" t="str">
        <f>VLOOKUP(flu_group[[#This Row],[trust_code]],trust_lookup[],3,0)</f>
        <v>Barts</v>
      </c>
      <c r="I109" s="14" t="str">
        <f>VLOOKUP(flu_group[[#This Row],[trust_code]],trust_lookup[],4,0)</f>
        <v>Acute</v>
      </c>
      <c r="K109" s="2" t="s">
        <v>518</v>
      </c>
      <c r="L109" s="2" t="s">
        <v>182</v>
      </c>
      <c r="M109" s="2" t="s">
        <v>183</v>
      </c>
      <c r="N109" s="2" t="s">
        <v>27</v>
      </c>
      <c r="O109" s="2" t="s">
        <v>94</v>
      </c>
      <c r="P109" s="2">
        <v>30</v>
      </c>
      <c r="R109" s="43">
        <v>45663</v>
      </c>
      <c r="S109" s="2">
        <v>2</v>
      </c>
      <c r="T109" s="2" t="s">
        <v>519</v>
      </c>
      <c r="U109" s="2" t="s">
        <v>48</v>
      </c>
      <c r="V109" s="2" t="s">
        <v>49</v>
      </c>
      <c r="W109" s="2" t="s">
        <v>192</v>
      </c>
      <c r="X109" s="23">
        <v>6</v>
      </c>
      <c r="Y109" s="23">
        <v>1184</v>
      </c>
      <c r="Z109" s="23">
        <v>4118</v>
      </c>
      <c r="AA109" s="24">
        <v>0.28751821272462302</v>
      </c>
      <c r="AB109" s="14" t="str">
        <f>VLOOKUP(flu_aw24[[#This Row],[trust_code]],trust_lookup[],3,0)</f>
        <v>CLCH</v>
      </c>
      <c r="AD109" s="43">
        <v>45964</v>
      </c>
      <c r="AE109" s="2">
        <v>45</v>
      </c>
      <c r="AF109" s="2" t="s">
        <v>518</v>
      </c>
      <c r="AG109" s="2" t="s">
        <v>95</v>
      </c>
      <c r="AH109" s="2" t="s">
        <v>96</v>
      </c>
      <c r="AI109" s="2" t="s">
        <v>190</v>
      </c>
      <c r="AJ109" s="23">
        <v>214</v>
      </c>
      <c r="AK109" s="23">
        <v>1119</v>
      </c>
      <c r="AL109" s="23">
        <v>3664</v>
      </c>
      <c r="AM109" s="24">
        <v>0.30540393013100398</v>
      </c>
      <c r="AN109" s="44" t="str">
        <f>VLOOKUP(flu_aw25[[#This Row],[trust_code]],trust_lookup[],3,0)</f>
        <v>Homerton</v>
      </c>
      <c r="AP109" s="2" t="s">
        <v>164</v>
      </c>
      <c r="AQ109" s="2" t="s">
        <v>165</v>
      </c>
      <c r="AR109" s="2" t="s">
        <v>193</v>
      </c>
      <c r="AS109" s="2" t="s">
        <v>521</v>
      </c>
      <c r="AT109" s="2">
        <v>995</v>
      </c>
      <c r="AU109" s="44" t="str">
        <f>VLOOKUP(flu_location[[#This Row],[trust_code]],trust_lookup[],3,0)</f>
        <v>SLAM</v>
      </c>
      <c r="AW109" s="2" t="s">
        <v>95</v>
      </c>
      <c r="AX109" s="2" t="s">
        <v>96</v>
      </c>
      <c r="AY109" s="2" t="s">
        <v>654</v>
      </c>
      <c r="AZ109" s="2">
        <v>463</v>
      </c>
      <c r="BA109" s="2">
        <v>210</v>
      </c>
      <c r="BB109" s="44" t="str">
        <f>VLOOKUP(age_group[[#This Row],[trust_code]],trust_lookup[],3,0)</f>
        <v>Homerton</v>
      </c>
    </row>
    <row r="110" spans="1:54" x14ac:dyDescent="0.35">
      <c r="A110" s="2" t="s">
        <v>518</v>
      </c>
      <c r="B110" s="2" t="s">
        <v>124</v>
      </c>
      <c r="C110" s="2" t="s">
        <v>125</v>
      </c>
      <c r="D110" s="2" t="s">
        <v>192</v>
      </c>
      <c r="E110" s="2" t="s">
        <v>60</v>
      </c>
      <c r="F110" s="2">
        <v>2260</v>
      </c>
      <c r="G110" s="2">
        <v>1181</v>
      </c>
      <c r="H110" s="14" t="str">
        <f>VLOOKUP(flu_group[[#This Row],[trust_code]],trust_lookup[],3,0)</f>
        <v>LAS</v>
      </c>
      <c r="I110" s="14" t="str">
        <f>VLOOKUP(flu_group[[#This Row],[trust_code]],trust_lookup[],4,0)</f>
        <v>Ambulance</v>
      </c>
      <c r="K110" s="2" t="s">
        <v>518</v>
      </c>
      <c r="L110" s="2" t="s">
        <v>182</v>
      </c>
      <c r="M110" s="2" t="s">
        <v>183</v>
      </c>
      <c r="N110" s="2" t="s">
        <v>27</v>
      </c>
      <c r="O110" s="2" t="s">
        <v>29</v>
      </c>
      <c r="P110" s="2">
        <v>58</v>
      </c>
      <c r="R110" s="43">
        <v>45670</v>
      </c>
      <c r="S110" s="2">
        <v>3</v>
      </c>
      <c r="T110" s="2" t="s">
        <v>519</v>
      </c>
      <c r="U110" s="2" t="s">
        <v>48</v>
      </c>
      <c r="V110" s="2" t="s">
        <v>49</v>
      </c>
      <c r="W110" s="2" t="s">
        <v>192</v>
      </c>
      <c r="X110" s="23">
        <v>9</v>
      </c>
      <c r="Y110" s="23">
        <v>1193</v>
      </c>
      <c r="Z110" s="23">
        <v>4118</v>
      </c>
      <c r="AA110" s="24">
        <v>0.28970373967945601</v>
      </c>
      <c r="AB110" s="14" t="str">
        <f>VLOOKUP(flu_aw24[[#This Row],[trust_code]],trust_lookup[],3,0)</f>
        <v>CLCH</v>
      </c>
      <c r="AD110" s="43">
        <v>45971</v>
      </c>
      <c r="AE110" s="2">
        <v>46</v>
      </c>
      <c r="AF110" s="2" t="s">
        <v>518</v>
      </c>
      <c r="AG110" s="2" t="s">
        <v>95</v>
      </c>
      <c r="AH110" s="2" t="s">
        <v>96</v>
      </c>
      <c r="AI110" s="2" t="s">
        <v>190</v>
      </c>
      <c r="AJ110" s="23">
        <v>122</v>
      </c>
      <c r="AK110" s="23">
        <v>1241</v>
      </c>
      <c r="AL110" s="23">
        <v>3664</v>
      </c>
      <c r="AM110" s="24">
        <v>0.33870087336244498</v>
      </c>
      <c r="AN110" s="44" t="str">
        <f>VLOOKUP(flu_aw25[[#This Row],[trust_code]],trust_lookup[],3,0)</f>
        <v>Homerton</v>
      </c>
      <c r="AP110" s="2" t="s">
        <v>164</v>
      </c>
      <c r="AQ110" s="2" t="s">
        <v>165</v>
      </c>
      <c r="AR110" s="2" t="s">
        <v>193</v>
      </c>
      <c r="AS110" s="2" t="s">
        <v>522</v>
      </c>
      <c r="AT110" s="2">
        <v>333</v>
      </c>
      <c r="AU110" s="44" t="str">
        <f>VLOOKUP(flu_location[[#This Row],[trust_code]],trust_lookup[],3,0)</f>
        <v>SLAM</v>
      </c>
      <c r="AW110" s="2" t="s">
        <v>95</v>
      </c>
      <c r="AX110" s="2" t="s">
        <v>96</v>
      </c>
      <c r="AY110" s="2" t="s">
        <v>655</v>
      </c>
      <c r="AZ110" s="2">
        <v>402</v>
      </c>
      <c r="BA110" s="2">
        <v>182</v>
      </c>
      <c r="BB110" s="44" t="str">
        <f>VLOOKUP(age_group[[#This Row],[trust_code]],trust_lookup[],3,0)</f>
        <v>Homerton</v>
      </c>
    </row>
    <row r="111" spans="1:54" x14ac:dyDescent="0.35">
      <c r="A111" s="2" t="s">
        <v>518</v>
      </c>
      <c r="B111" s="2" t="s">
        <v>95</v>
      </c>
      <c r="C111" s="2" t="s">
        <v>96</v>
      </c>
      <c r="D111" s="2" t="s">
        <v>190</v>
      </c>
      <c r="E111" s="2" t="s">
        <v>60</v>
      </c>
      <c r="F111" s="2">
        <v>443</v>
      </c>
      <c r="G111" s="2">
        <v>251</v>
      </c>
      <c r="H111" s="14" t="str">
        <f>VLOOKUP(flu_group[[#This Row],[trust_code]],trust_lookup[],3,0)</f>
        <v>Homerton</v>
      </c>
      <c r="I111" s="14" t="str">
        <f>VLOOKUP(flu_group[[#This Row],[trust_code]],trust_lookup[],4,0)</f>
        <v>Acute</v>
      </c>
      <c r="K111" s="2" t="s">
        <v>518</v>
      </c>
      <c r="L111" s="2" t="s">
        <v>182</v>
      </c>
      <c r="M111" s="2" t="s">
        <v>183</v>
      </c>
      <c r="N111" s="2" t="s">
        <v>27</v>
      </c>
      <c r="O111" s="2" t="s">
        <v>123</v>
      </c>
      <c r="P111" s="2">
        <v>267</v>
      </c>
      <c r="R111" s="43">
        <v>45677</v>
      </c>
      <c r="S111" s="2">
        <v>4</v>
      </c>
      <c r="T111" s="2" t="s">
        <v>519</v>
      </c>
      <c r="U111" s="2" t="s">
        <v>48</v>
      </c>
      <c r="V111" s="2" t="s">
        <v>49</v>
      </c>
      <c r="W111" s="2" t="s">
        <v>192</v>
      </c>
      <c r="X111" s="23">
        <v>5</v>
      </c>
      <c r="Y111" s="23">
        <v>1198</v>
      </c>
      <c r="Z111" s="23">
        <v>4118</v>
      </c>
      <c r="AA111" s="24">
        <v>0.290917921321029</v>
      </c>
      <c r="AB111" s="14" t="str">
        <f>VLOOKUP(flu_aw24[[#This Row],[trust_code]],trust_lookup[],3,0)</f>
        <v>CLCH</v>
      </c>
      <c r="AD111" s="43">
        <v>45978</v>
      </c>
      <c r="AE111" s="2">
        <v>47</v>
      </c>
      <c r="AF111" s="2" t="s">
        <v>518</v>
      </c>
      <c r="AG111" s="2" t="s">
        <v>95</v>
      </c>
      <c r="AH111" s="2" t="s">
        <v>96</v>
      </c>
      <c r="AI111" s="2" t="s">
        <v>190</v>
      </c>
      <c r="AJ111" s="23">
        <v>80</v>
      </c>
      <c r="AK111" s="23">
        <v>1321</v>
      </c>
      <c r="AL111" s="23">
        <v>3664</v>
      </c>
      <c r="AM111" s="24">
        <v>0.36053493449781598</v>
      </c>
      <c r="AN111" s="44" t="str">
        <f>VLOOKUP(flu_aw25[[#This Row],[trust_code]],trust_lookup[],3,0)</f>
        <v>Homerton</v>
      </c>
      <c r="AP111" s="2" t="s">
        <v>164</v>
      </c>
      <c r="AQ111" s="2" t="s">
        <v>165</v>
      </c>
      <c r="AR111" s="2" t="s">
        <v>193</v>
      </c>
      <c r="AS111" s="2" t="s">
        <v>523</v>
      </c>
      <c r="AT111" s="2">
        <v>1</v>
      </c>
      <c r="AU111" s="44" t="str">
        <f>VLOOKUP(flu_location[[#This Row],[trust_code]],trust_lookup[],3,0)</f>
        <v>SLAM</v>
      </c>
      <c r="AW111" s="2" t="s">
        <v>95</v>
      </c>
      <c r="AX111" s="2" t="s">
        <v>96</v>
      </c>
      <c r="AY111" s="2" t="s">
        <v>656</v>
      </c>
      <c r="AZ111" s="2">
        <v>355</v>
      </c>
      <c r="BA111" s="2">
        <v>168</v>
      </c>
      <c r="BB111" s="44" t="str">
        <f>VLOOKUP(age_group[[#This Row],[trust_code]],trust_lookup[],3,0)</f>
        <v>Homerton</v>
      </c>
    </row>
    <row r="112" spans="1:54" x14ac:dyDescent="0.35">
      <c r="A112" s="2" t="s">
        <v>518</v>
      </c>
      <c r="B112" s="2" t="s">
        <v>179</v>
      </c>
      <c r="C112" s="2" t="s">
        <v>180</v>
      </c>
      <c r="D112" s="2" t="s">
        <v>194</v>
      </c>
      <c r="E112" s="2" t="s">
        <v>60</v>
      </c>
      <c r="F112" s="2">
        <v>324</v>
      </c>
      <c r="G112" s="2">
        <v>162</v>
      </c>
      <c r="H112" s="14" t="str">
        <f>VLOOKUP(flu_group[[#This Row],[trust_code]],trust_lookup[],3,0)</f>
        <v>Marsden</v>
      </c>
      <c r="I112" s="14" t="str">
        <f>VLOOKUP(flu_group[[#This Row],[trust_code]],trust_lookup[],4,0)</f>
        <v>Specialist</v>
      </c>
      <c r="K112" s="2" t="s">
        <v>518</v>
      </c>
      <c r="L112" s="2" t="s">
        <v>182</v>
      </c>
      <c r="M112" s="2" t="s">
        <v>183</v>
      </c>
      <c r="N112" s="2" t="s">
        <v>27</v>
      </c>
      <c r="O112" s="2" t="s">
        <v>82</v>
      </c>
      <c r="P112" s="2">
        <v>36</v>
      </c>
      <c r="R112" s="43">
        <v>45684</v>
      </c>
      <c r="S112" s="2">
        <v>5</v>
      </c>
      <c r="T112" s="2" t="s">
        <v>519</v>
      </c>
      <c r="U112" s="2" t="s">
        <v>48</v>
      </c>
      <c r="V112" s="2" t="s">
        <v>49</v>
      </c>
      <c r="W112" s="2" t="s">
        <v>192</v>
      </c>
      <c r="X112" s="23">
        <v>7</v>
      </c>
      <c r="Y112" s="23">
        <v>1205</v>
      </c>
      <c r="Z112" s="23">
        <v>4118</v>
      </c>
      <c r="AA112" s="24">
        <v>0.29261777561923202</v>
      </c>
      <c r="AB112" s="14" t="str">
        <f>VLOOKUP(flu_aw24[[#This Row],[trust_code]],trust_lookup[],3,0)</f>
        <v>CLCH</v>
      </c>
      <c r="AD112" s="43">
        <v>45985</v>
      </c>
      <c r="AE112" s="2">
        <v>48</v>
      </c>
      <c r="AF112" s="2" t="s">
        <v>518</v>
      </c>
      <c r="AG112" s="2" t="s">
        <v>95</v>
      </c>
      <c r="AH112" s="2" t="s">
        <v>96</v>
      </c>
      <c r="AI112" s="2" t="s">
        <v>190</v>
      </c>
      <c r="AJ112" s="23">
        <v>110</v>
      </c>
      <c r="AK112" s="23">
        <v>1431</v>
      </c>
      <c r="AL112" s="23">
        <v>3664</v>
      </c>
      <c r="AM112" s="24">
        <v>0.390556768558951</v>
      </c>
      <c r="AN112" s="44" t="str">
        <f>VLOOKUP(flu_aw25[[#This Row],[trust_code]],trust_lookup[],3,0)</f>
        <v>Homerton</v>
      </c>
      <c r="AP112" s="2" t="s">
        <v>62</v>
      </c>
      <c r="AQ112" s="2" t="s">
        <v>63</v>
      </c>
      <c r="AR112" s="2" t="s">
        <v>194</v>
      </c>
      <c r="AS112" s="2" t="s">
        <v>520</v>
      </c>
      <c r="AT112" s="2">
        <v>172</v>
      </c>
      <c r="AU112" s="44" t="str">
        <f>VLOOKUP(flu_location[[#This Row],[trust_code]],trust_lookup[],3,0)</f>
        <v>Croydon</v>
      </c>
      <c r="AW112" s="2" t="s">
        <v>95</v>
      </c>
      <c r="AX112" s="2" t="s">
        <v>96</v>
      </c>
      <c r="AY112" s="2" t="s">
        <v>657</v>
      </c>
      <c r="AZ112" s="2">
        <v>302</v>
      </c>
      <c r="BA112" s="2">
        <v>142</v>
      </c>
      <c r="BB112" s="44" t="str">
        <f>VLOOKUP(age_group[[#This Row],[trust_code]],trust_lookup[],3,0)</f>
        <v>Homerton</v>
      </c>
    </row>
    <row r="113" spans="1:54" x14ac:dyDescent="0.35">
      <c r="A113" s="2" t="s">
        <v>518</v>
      </c>
      <c r="B113" s="2" t="s">
        <v>176</v>
      </c>
      <c r="C113" s="2" t="s">
        <v>177</v>
      </c>
      <c r="D113" s="2" t="s">
        <v>192</v>
      </c>
      <c r="E113" s="2" t="s">
        <v>60</v>
      </c>
      <c r="F113" s="2">
        <v>252</v>
      </c>
      <c r="G113" s="2">
        <v>82</v>
      </c>
      <c r="H113" s="14" t="str">
        <f>VLOOKUP(flu_group[[#This Row],[trust_code]],trust_lookup[],3,0)</f>
        <v>Hillingdon</v>
      </c>
      <c r="I113" s="14" t="str">
        <f>VLOOKUP(flu_group[[#This Row],[trust_code]],trust_lookup[],4,0)</f>
        <v>Acute</v>
      </c>
      <c r="K113" s="2" t="s">
        <v>518</v>
      </c>
      <c r="L113" s="2" t="s">
        <v>182</v>
      </c>
      <c r="M113" s="2" t="s">
        <v>183</v>
      </c>
      <c r="N113" s="2" t="s">
        <v>27</v>
      </c>
      <c r="O113" s="2" t="s">
        <v>88</v>
      </c>
      <c r="P113" s="2">
        <v>43</v>
      </c>
      <c r="R113" s="43">
        <v>45691</v>
      </c>
      <c r="S113" s="2">
        <v>6</v>
      </c>
      <c r="T113" s="2" t="s">
        <v>519</v>
      </c>
      <c r="U113" s="2" t="s">
        <v>48</v>
      </c>
      <c r="V113" s="2" t="s">
        <v>49</v>
      </c>
      <c r="W113" s="2" t="s">
        <v>192</v>
      </c>
      <c r="X113" s="23">
        <v>4</v>
      </c>
      <c r="Y113" s="23">
        <v>1209</v>
      </c>
      <c r="Z113" s="23">
        <v>4118</v>
      </c>
      <c r="AA113" s="24">
        <v>0.29358912093249101</v>
      </c>
      <c r="AB113" s="14" t="str">
        <f>VLOOKUP(flu_aw24[[#This Row],[trust_code]],trust_lookup[],3,0)</f>
        <v>CLCH</v>
      </c>
      <c r="AD113" s="43">
        <v>45992</v>
      </c>
      <c r="AE113" s="2">
        <v>49</v>
      </c>
      <c r="AF113" s="2" t="s">
        <v>518</v>
      </c>
      <c r="AG113" s="2" t="s">
        <v>95</v>
      </c>
      <c r="AH113" s="2" t="s">
        <v>96</v>
      </c>
      <c r="AI113" s="2" t="s">
        <v>190</v>
      </c>
      <c r="AJ113" s="23">
        <v>65</v>
      </c>
      <c r="AK113" s="23">
        <v>1496</v>
      </c>
      <c r="AL113" s="23">
        <v>3664</v>
      </c>
      <c r="AM113" s="24">
        <v>0.408296943231441</v>
      </c>
      <c r="AN113" s="44" t="str">
        <f>VLOOKUP(flu_aw25[[#This Row],[trust_code]],trust_lookup[],3,0)</f>
        <v>Homerton</v>
      </c>
      <c r="AP113" s="2" t="s">
        <v>62</v>
      </c>
      <c r="AQ113" s="2" t="s">
        <v>63</v>
      </c>
      <c r="AR113" s="2" t="s">
        <v>194</v>
      </c>
      <c r="AS113" s="2" t="s">
        <v>521</v>
      </c>
      <c r="AT113" s="2">
        <v>1072</v>
      </c>
      <c r="AU113" s="44" t="str">
        <f>VLOOKUP(flu_location[[#This Row],[trust_code]],trust_lookup[],3,0)</f>
        <v>Croydon</v>
      </c>
      <c r="AW113" s="2" t="s">
        <v>95</v>
      </c>
      <c r="AX113" s="2" t="s">
        <v>96</v>
      </c>
      <c r="AY113" s="2" t="s">
        <v>658</v>
      </c>
      <c r="AZ113" s="2">
        <v>234</v>
      </c>
      <c r="BA113" s="2">
        <v>114</v>
      </c>
      <c r="BB113" s="44" t="str">
        <f>VLOOKUP(age_group[[#This Row],[trust_code]],trust_lookup[],3,0)</f>
        <v>Homerton</v>
      </c>
    </row>
    <row r="114" spans="1:54" x14ac:dyDescent="0.35">
      <c r="A114" s="2" t="s">
        <v>518</v>
      </c>
      <c r="B114" s="2" t="s">
        <v>164</v>
      </c>
      <c r="C114" s="2" t="s">
        <v>165</v>
      </c>
      <c r="D114" s="2" t="s">
        <v>193</v>
      </c>
      <c r="E114" s="2" t="s">
        <v>60</v>
      </c>
      <c r="F114" s="2">
        <v>178</v>
      </c>
      <c r="G114" s="2">
        <v>88</v>
      </c>
      <c r="H114" s="14" t="str">
        <f>VLOOKUP(flu_group[[#This Row],[trust_code]],trust_lookup[],3,0)</f>
        <v>SLAM</v>
      </c>
      <c r="I114" s="14" t="str">
        <f>VLOOKUP(flu_group[[#This Row],[trust_code]],trust_lookup[],4,0)</f>
        <v>Mental Health</v>
      </c>
      <c r="K114" s="2" t="s">
        <v>518</v>
      </c>
      <c r="L114" s="2" t="s">
        <v>182</v>
      </c>
      <c r="M114" s="2" t="s">
        <v>183</v>
      </c>
      <c r="N114" s="2" t="s">
        <v>27</v>
      </c>
      <c r="O114" s="2" t="s">
        <v>141</v>
      </c>
      <c r="P114" s="2">
        <v>394</v>
      </c>
      <c r="R114" s="43">
        <v>45698</v>
      </c>
      <c r="S114" s="2">
        <v>7</v>
      </c>
      <c r="T114" s="2" t="s">
        <v>519</v>
      </c>
      <c r="U114" s="2" t="s">
        <v>48</v>
      </c>
      <c r="V114" s="2" t="s">
        <v>49</v>
      </c>
      <c r="W114" s="2" t="s">
        <v>192</v>
      </c>
      <c r="X114" s="23">
        <v>4</v>
      </c>
      <c r="Y114" s="23">
        <v>1213</v>
      </c>
      <c r="Z114" s="23">
        <v>4118</v>
      </c>
      <c r="AA114" s="24">
        <v>0.29456046624575</v>
      </c>
      <c r="AB114" s="14" t="str">
        <f>VLOOKUP(flu_aw24[[#This Row],[trust_code]],trust_lookup[],3,0)</f>
        <v>CLCH</v>
      </c>
      <c r="AD114" s="43">
        <v>45999</v>
      </c>
      <c r="AE114" s="2">
        <v>50</v>
      </c>
      <c r="AF114" s="2" t="s">
        <v>518</v>
      </c>
      <c r="AG114" s="2" t="s">
        <v>95</v>
      </c>
      <c r="AH114" s="2" t="s">
        <v>96</v>
      </c>
      <c r="AI114" s="2" t="s">
        <v>190</v>
      </c>
      <c r="AJ114" s="23">
        <v>82</v>
      </c>
      <c r="AK114" s="23">
        <v>1578</v>
      </c>
      <c r="AL114" s="23">
        <v>3664</v>
      </c>
      <c r="AM114" s="24">
        <v>0.430676855895196</v>
      </c>
      <c r="AN114" s="44" t="str">
        <f>VLOOKUP(flu_aw25[[#This Row],[trust_code]],trust_lookup[],3,0)</f>
        <v>Homerton</v>
      </c>
      <c r="AP114" s="2" t="s">
        <v>62</v>
      </c>
      <c r="AQ114" s="2" t="s">
        <v>63</v>
      </c>
      <c r="AR114" s="2" t="s">
        <v>194</v>
      </c>
      <c r="AS114" s="2" t="s">
        <v>522</v>
      </c>
      <c r="AT114" s="2">
        <v>108</v>
      </c>
      <c r="AU114" s="44" t="str">
        <f>VLOOKUP(flu_location[[#This Row],[trust_code]],trust_lookup[],3,0)</f>
        <v>Croydon</v>
      </c>
      <c r="AW114" s="2" t="s">
        <v>95</v>
      </c>
      <c r="AX114" s="2" t="s">
        <v>96</v>
      </c>
      <c r="AY114" s="2" t="s">
        <v>659</v>
      </c>
      <c r="AZ114" s="2">
        <v>124</v>
      </c>
      <c r="BA114" s="2">
        <v>66</v>
      </c>
      <c r="BB114" s="44" t="str">
        <f>VLOOKUP(age_group[[#This Row],[trust_code]],trust_lookup[],3,0)</f>
        <v>Homerton</v>
      </c>
    </row>
    <row r="115" spans="1:54" x14ac:dyDescent="0.35">
      <c r="A115" s="2" t="s">
        <v>518</v>
      </c>
      <c r="B115" s="2" t="s">
        <v>113</v>
      </c>
      <c r="C115" s="2" t="s">
        <v>114</v>
      </c>
      <c r="D115" s="2" t="s">
        <v>194</v>
      </c>
      <c r="E115" s="2" t="s">
        <v>60</v>
      </c>
      <c r="F115" s="2">
        <v>371</v>
      </c>
      <c r="G115" s="2">
        <v>169</v>
      </c>
      <c r="H115" s="14" t="str">
        <f>VLOOKUP(flu_group[[#This Row],[trust_code]],trust_lookup[],3,0)</f>
        <v>K&amp;R FT</v>
      </c>
      <c r="I115" s="14" t="str">
        <f>VLOOKUP(flu_group[[#This Row],[trust_code]],trust_lookup[],4,0)</f>
        <v>Acute &amp; Community</v>
      </c>
      <c r="K115" s="2" t="s">
        <v>518</v>
      </c>
      <c r="L115" s="2" t="s">
        <v>182</v>
      </c>
      <c r="M115" s="2" t="s">
        <v>183</v>
      </c>
      <c r="N115" s="2" t="s">
        <v>27</v>
      </c>
      <c r="O115" s="2" t="s">
        <v>61</v>
      </c>
      <c r="P115" s="2">
        <v>33</v>
      </c>
      <c r="R115" s="43">
        <v>45726</v>
      </c>
      <c r="S115" s="2">
        <v>11</v>
      </c>
      <c r="T115" s="2" t="s">
        <v>519</v>
      </c>
      <c r="U115" s="2" t="s">
        <v>48</v>
      </c>
      <c r="V115" s="2" t="s">
        <v>49</v>
      </c>
      <c r="W115" s="2" t="s">
        <v>192</v>
      </c>
      <c r="X115" s="23">
        <v>1</v>
      </c>
      <c r="Y115" s="23">
        <v>1214</v>
      </c>
      <c r="Z115" s="23">
        <v>4118</v>
      </c>
      <c r="AA115" s="24">
        <v>0.29480330257406501</v>
      </c>
      <c r="AB115" s="14" t="str">
        <f>VLOOKUP(flu_aw24[[#This Row],[trust_code]],trust_lookup[],3,0)</f>
        <v>CLCH</v>
      </c>
      <c r="AD115" s="43">
        <v>46006</v>
      </c>
      <c r="AE115" s="2">
        <v>51</v>
      </c>
      <c r="AF115" s="2" t="s">
        <v>518</v>
      </c>
      <c r="AG115" s="2" t="s">
        <v>95</v>
      </c>
      <c r="AH115" s="2" t="s">
        <v>96</v>
      </c>
      <c r="AI115" s="2" t="s">
        <v>190</v>
      </c>
      <c r="AJ115" s="23">
        <v>58</v>
      </c>
      <c r="AK115" s="23">
        <v>1636</v>
      </c>
      <c r="AL115" s="23">
        <v>3664</v>
      </c>
      <c r="AM115" s="24">
        <v>0.44650655021834001</v>
      </c>
      <c r="AN115" s="44" t="str">
        <f>VLOOKUP(flu_aw25[[#This Row],[trust_code]],trust_lookup[],3,0)</f>
        <v>Homerton</v>
      </c>
      <c r="AP115" s="2" t="s">
        <v>62</v>
      </c>
      <c r="AQ115" s="2" t="s">
        <v>63</v>
      </c>
      <c r="AR115" s="2" t="s">
        <v>194</v>
      </c>
      <c r="AS115" s="2" t="s">
        <v>524</v>
      </c>
      <c r="AT115" s="2">
        <v>1</v>
      </c>
      <c r="AU115" s="44" t="str">
        <f>VLOOKUP(flu_location[[#This Row],[trust_code]],trust_lookup[],3,0)</f>
        <v>Croydon</v>
      </c>
      <c r="AW115" s="2" t="s">
        <v>101</v>
      </c>
      <c r="AX115" s="2" t="s">
        <v>102</v>
      </c>
      <c r="AY115" s="2" t="s">
        <v>650</v>
      </c>
      <c r="AZ115" s="2">
        <v>576</v>
      </c>
      <c r="BA115" s="2">
        <v>131</v>
      </c>
      <c r="BB115" s="44" t="str">
        <f>VLOOKUP(age_group[[#This Row],[trust_code]],trust_lookup[],3,0)</f>
        <v>Imperial</v>
      </c>
    </row>
    <row r="116" spans="1:54" x14ac:dyDescent="0.35">
      <c r="A116" s="2" t="s">
        <v>518</v>
      </c>
      <c r="B116" s="2" t="s">
        <v>89</v>
      </c>
      <c r="C116" s="2" t="s">
        <v>90</v>
      </c>
      <c r="D116" s="2" t="s">
        <v>193</v>
      </c>
      <c r="E116" s="2" t="s">
        <v>60</v>
      </c>
      <c r="F116" s="2">
        <v>1395</v>
      </c>
      <c r="G116" s="2">
        <v>783</v>
      </c>
      <c r="H116" s="14" t="str">
        <f>VLOOKUP(flu_group[[#This Row],[trust_code]],trust_lookup[],3,0)</f>
        <v>GSTT</v>
      </c>
      <c r="I116" s="14" t="str">
        <f>VLOOKUP(flu_group[[#This Row],[trust_code]],trust_lookup[],4,0)</f>
        <v>Acute</v>
      </c>
      <c r="K116" s="2" t="s">
        <v>518</v>
      </c>
      <c r="L116" s="2" t="s">
        <v>182</v>
      </c>
      <c r="M116" s="2" t="s">
        <v>183</v>
      </c>
      <c r="N116" s="2" t="s">
        <v>27</v>
      </c>
      <c r="O116" s="2" t="s">
        <v>100</v>
      </c>
      <c r="P116" s="2">
        <v>168</v>
      </c>
      <c r="R116" s="43">
        <v>45740</v>
      </c>
      <c r="S116" s="2">
        <v>13</v>
      </c>
      <c r="T116" s="2" t="s">
        <v>519</v>
      </c>
      <c r="U116" s="2" t="s">
        <v>48</v>
      </c>
      <c r="V116" s="2" t="s">
        <v>49</v>
      </c>
      <c r="W116" s="2" t="s">
        <v>192</v>
      </c>
      <c r="X116" s="23">
        <v>1</v>
      </c>
      <c r="Y116" s="23">
        <v>1215</v>
      </c>
      <c r="Z116" s="23">
        <v>4118</v>
      </c>
      <c r="AA116" s="24">
        <v>0.29504613890237902</v>
      </c>
      <c r="AB116" s="14" t="str">
        <f>VLOOKUP(flu_aw24[[#This Row],[trust_code]],trust_lookup[],3,0)</f>
        <v>CLCH</v>
      </c>
      <c r="AD116" s="43">
        <v>46013</v>
      </c>
      <c r="AE116" s="2">
        <v>52</v>
      </c>
      <c r="AF116" s="2" t="s">
        <v>518</v>
      </c>
      <c r="AG116" s="2" t="s">
        <v>95</v>
      </c>
      <c r="AH116" s="2" t="s">
        <v>96</v>
      </c>
      <c r="AI116" s="2" t="s">
        <v>190</v>
      </c>
      <c r="AJ116" s="23">
        <v>22</v>
      </c>
      <c r="AK116" s="23">
        <v>1658</v>
      </c>
      <c r="AL116" s="23">
        <v>3664</v>
      </c>
      <c r="AM116" s="24">
        <v>0.45251091703056701</v>
      </c>
      <c r="AN116" s="44" t="str">
        <f>VLOOKUP(flu_aw25[[#This Row],[trust_code]],trust_lookup[],3,0)</f>
        <v>Homerton</v>
      </c>
      <c r="AP116" s="2" t="s">
        <v>76</v>
      </c>
      <c r="AQ116" s="2" t="s">
        <v>77</v>
      </c>
      <c r="AR116" s="2" t="s">
        <v>194</v>
      </c>
      <c r="AS116" s="2" t="s">
        <v>520</v>
      </c>
      <c r="AT116" s="2">
        <v>329</v>
      </c>
      <c r="AU116" s="44" t="str">
        <f>VLOOKUP(flu_location[[#This Row],[trust_code]],trust_lookup[],3,0)</f>
        <v>Epsom</v>
      </c>
      <c r="AW116" s="2" t="s">
        <v>101</v>
      </c>
      <c r="AX116" s="2" t="s">
        <v>102</v>
      </c>
      <c r="AY116" s="2" t="s">
        <v>651</v>
      </c>
      <c r="AZ116" s="2">
        <v>1587</v>
      </c>
      <c r="BA116" s="2">
        <v>540</v>
      </c>
      <c r="BB116" s="44" t="str">
        <f>VLOOKUP(age_group[[#This Row],[trust_code]],trust_lookup[],3,0)</f>
        <v>Imperial</v>
      </c>
    </row>
    <row r="117" spans="1:54" x14ac:dyDescent="0.35">
      <c r="A117" s="2" t="s">
        <v>518</v>
      </c>
      <c r="B117" s="2" t="s">
        <v>152</v>
      </c>
      <c r="C117" s="2" t="s">
        <v>153</v>
      </c>
      <c r="D117" s="2" t="s">
        <v>193</v>
      </c>
      <c r="E117" s="2" t="s">
        <v>60</v>
      </c>
      <c r="F117" s="2">
        <v>370</v>
      </c>
      <c r="G117" s="2">
        <v>162</v>
      </c>
      <c r="H117" s="14" t="str">
        <f>VLOOKUP(flu_group[[#This Row],[trust_code]],trust_lookup[],3,0)</f>
        <v>Oxleas</v>
      </c>
      <c r="I117" s="14" t="str">
        <f>VLOOKUP(flu_group[[#This Row],[trust_code]],trust_lookup[],4,0)</f>
        <v>Mental Health &amp; Community</v>
      </c>
      <c r="K117" s="2" t="s">
        <v>518</v>
      </c>
      <c r="L117" s="2" t="s">
        <v>182</v>
      </c>
      <c r="M117" s="2" t="s">
        <v>183</v>
      </c>
      <c r="N117" s="2" t="s">
        <v>27</v>
      </c>
      <c r="O117" s="2" t="s">
        <v>75</v>
      </c>
      <c r="P117" s="2">
        <v>41</v>
      </c>
      <c r="R117" s="43">
        <v>45747</v>
      </c>
      <c r="S117" s="2">
        <v>14</v>
      </c>
      <c r="T117" s="2" t="s">
        <v>519</v>
      </c>
      <c r="U117" s="2" t="s">
        <v>48</v>
      </c>
      <c r="V117" s="2" t="s">
        <v>49</v>
      </c>
      <c r="W117" s="2" t="s">
        <v>192</v>
      </c>
      <c r="X117" s="23">
        <v>1</v>
      </c>
      <c r="Y117" s="23">
        <v>1216</v>
      </c>
      <c r="Z117" s="23">
        <v>4118</v>
      </c>
      <c r="AA117" s="24">
        <v>0.29528897523069397</v>
      </c>
      <c r="AB117" s="14" t="str">
        <f>VLOOKUP(flu_aw24[[#This Row],[trust_code]],trust_lookup[],3,0)</f>
        <v>CLCH</v>
      </c>
      <c r="AD117" s="43">
        <v>46020</v>
      </c>
      <c r="AE117" s="2">
        <v>1</v>
      </c>
      <c r="AF117" s="2" t="s">
        <v>518</v>
      </c>
      <c r="AG117" s="2" t="s">
        <v>95</v>
      </c>
      <c r="AH117" s="2" t="s">
        <v>96</v>
      </c>
      <c r="AI117" s="2" t="s">
        <v>190</v>
      </c>
      <c r="AJ117" s="23">
        <v>2</v>
      </c>
      <c r="AK117" s="23">
        <v>1660</v>
      </c>
      <c r="AL117" s="23">
        <v>3664</v>
      </c>
      <c r="AM117" s="24">
        <v>0.453056768558951</v>
      </c>
      <c r="AN117" s="44" t="str">
        <f>VLOOKUP(flu_aw25[[#This Row],[trust_code]],trust_lookup[],3,0)</f>
        <v>Homerton</v>
      </c>
      <c r="AP117" s="2" t="s">
        <v>76</v>
      </c>
      <c r="AQ117" s="2" t="s">
        <v>77</v>
      </c>
      <c r="AR117" s="2" t="s">
        <v>194</v>
      </c>
      <c r="AS117" s="2" t="s">
        <v>521</v>
      </c>
      <c r="AT117" s="2">
        <v>2041</v>
      </c>
      <c r="AU117" s="44" t="str">
        <f>VLOOKUP(flu_location[[#This Row],[trust_code]],trust_lookup[],3,0)</f>
        <v>Epsom</v>
      </c>
      <c r="AW117" s="2" t="s">
        <v>101</v>
      </c>
      <c r="AX117" s="2" t="s">
        <v>102</v>
      </c>
      <c r="AY117" s="2" t="s">
        <v>652</v>
      </c>
      <c r="AZ117" s="2">
        <v>1774</v>
      </c>
      <c r="BA117" s="2">
        <v>619</v>
      </c>
      <c r="BB117" s="44" t="str">
        <f>VLOOKUP(age_group[[#This Row],[trust_code]],trust_lookup[],3,0)</f>
        <v>Imperial</v>
      </c>
    </row>
    <row r="118" spans="1:54" x14ac:dyDescent="0.35">
      <c r="A118" s="2" t="s">
        <v>518</v>
      </c>
      <c r="B118" s="2" t="s">
        <v>48</v>
      </c>
      <c r="C118" s="2" t="s">
        <v>49</v>
      </c>
      <c r="D118" s="2" t="s">
        <v>192</v>
      </c>
      <c r="E118" s="2" t="s">
        <v>60</v>
      </c>
      <c r="F118" s="2">
        <v>818</v>
      </c>
      <c r="G118" s="2">
        <v>352</v>
      </c>
      <c r="H118" s="14" t="str">
        <f>VLOOKUP(flu_group[[#This Row],[trust_code]],trust_lookup[],3,0)</f>
        <v>CLCH</v>
      </c>
      <c r="I118" s="14" t="str">
        <f>VLOOKUP(flu_group[[#This Row],[trust_code]],trust_lookup[],4,0)</f>
        <v>Community</v>
      </c>
      <c r="K118" s="2" t="s">
        <v>518</v>
      </c>
      <c r="L118" s="2" t="s">
        <v>182</v>
      </c>
      <c r="M118" s="2" t="s">
        <v>183</v>
      </c>
      <c r="N118" s="2" t="s">
        <v>27</v>
      </c>
      <c r="O118" s="2" t="s">
        <v>106</v>
      </c>
      <c r="P118" s="2">
        <v>87</v>
      </c>
      <c r="R118" s="43">
        <v>45537</v>
      </c>
      <c r="S118" s="2">
        <v>36</v>
      </c>
      <c r="T118" s="2" t="s">
        <v>519</v>
      </c>
      <c r="U118" s="2" t="s">
        <v>55</v>
      </c>
      <c r="V118" s="2" t="s">
        <v>56</v>
      </c>
      <c r="W118" s="2" t="s">
        <v>192</v>
      </c>
      <c r="X118" s="23">
        <v>1</v>
      </c>
      <c r="Y118" s="23">
        <v>1</v>
      </c>
      <c r="Z118" s="23">
        <v>4899</v>
      </c>
      <c r="AA118" s="24">
        <v>2.0412329046744199E-4</v>
      </c>
      <c r="AB118" s="14" t="str">
        <f>VLOOKUP(flu_aw24[[#This Row],[trust_code]],trust_lookup[],3,0)</f>
        <v>ChelWest</v>
      </c>
      <c r="AD118" s="43">
        <v>46027</v>
      </c>
      <c r="AE118" s="2">
        <v>2</v>
      </c>
      <c r="AF118" s="2" t="s">
        <v>518</v>
      </c>
      <c r="AG118" s="2" t="s">
        <v>95</v>
      </c>
      <c r="AH118" s="2" t="s">
        <v>96</v>
      </c>
      <c r="AI118" s="2" t="s">
        <v>190</v>
      </c>
      <c r="AJ118" s="23">
        <v>30</v>
      </c>
      <c r="AK118" s="23">
        <v>1690</v>
      </c>
      <c r="AL118" s="23">
        <v>3664</v>
      </c>
      <c r="AM118" s="24">
        <v>0.461244541484716</v>
      </c>
      <c r="AN118" s="44" t="str">
        <f>VLOOKUP(flu_aw25[[#This Row],[trust_code]],trust_lookup[],3,0)</f>
        <v>Homerton</v>
      </c>
      <c r="AP118" s="2" t="s">
        <v>76</v>
      </c>
      <c r="AQ118" s="2" t="s">
        <v>77</v>
      </c>
      <c r="AR118" s="2" t="s">
        <v>194</v>
      </c>
      <c r="AS118" s="2" t="s">
        <v>522</v>
      </c>
      <c r="AT118" s="2">
        <v>277</v>
      </c>
      <c r="AU118" s="44" t="str">
        <f>VLOOKUP(flu_location[[#This Row],[trust_code]],trust_lookup[],3,0)</f>
        <v>Epsom</v>
      </c>
      <c r="AW118" s="2" t="s">
        <v>101</v>
      </c>
      <c r="AX118" s="2" t="s">
        <v>102</v>
      </c>
      <c r="AY118" s="2" t="s">
        <v>653</v>
      </c>
      <c r="AZ118" s="2">
        <v>1763</v>
      </c>
      <c r="BA118" s="2">
        <v>664</v>
      </c>
      <c r="BB118" s="44" t="str">
        <f>VLOOKUP(age_group[[#This Row],[trust_code]],trust_lookup[],3,0)</f>
        <v>Imperial</v>
      </c>
    </row>
    <row r="119" spans="1:54" x14ac:dyDescent="0.35">
      <c r="A119" s="2" t="s">
        <v>518</v>
      </c>
      <c r="B119" s="2" t="s">
        <v>185</v>
      </c>
      <c r="C119" s="2" t="s">
        <v>186</v>
      </c>
      <c r="D119" s="2" t="s">
        <v>27</v>
      </c>
      <c r="E119" s="2" t="s">
        <v>60</v>
      </c>
      <c r="F119" s="2">
        <v>481</v>
      </c>
      <c r="G119" s="2">
        <v>217</v>
      </c>
      <c r="H119" s="14" t="str">
        <f>VLOOKUP(flu_group[[#This Row],[trust_code]],trust_lookup[],3,0)</f>
        <v>Whittington</v>
      </c>
      <c r="I119" s="14" t="str">
        <f>VLOOKUP(flu_group[[#This Row],[trust_code]],trust_lookup[],4,0)</f>
        <v>Acute &amp; Community</v>
      </c>
      <c r="K119" s="2" t="s">
        <v>518</v>
      </c>
      <c r="L119" s="2" t="s">
        <v>182</v>
      </c>
      <c r="M119" s="2" t="s">
        <v>183</v>
      </c>
      <c r="N119" s="2" t="s">
        <v>27</v>
      </c>
      <c r="O119" s="2" t="s">
        <v>112</v>
      </c>
      <c r="P119" s="2">
        <v>304</v>
      </c>
      <c r="R119" s="43">
        <v>45551</v>
      </c>
      <c r="S119" s="2">
        <v>38</v>
      </c>
      <c r="T119" s="2" t="s">
        <v>519</v>
      </c>
      <c r="U119" s="2" t="s">
        <v>55</v>
      </c>
      <c r="V119" s="2" t="s">
        <v>56</v>
      </c>
      <c r="W119" s="2" t="s">
        <v>192</v>
      </c>
      <c r="X119" s="23">
        <v>9</v>
      </c>
      <c r="Y119" s="23">
        <v>10</v>
      </c>
      <c r="Z119" s="23">
        <v>4899</v>
      </c>
      <c r="AA119" s="24">
        <v>2.04123290467442E-3</v>
      </c>
      <c r="AB119" s="14" t="str">
        <f>VLOOKUP(flu_aw24[[#This Row],[trust_code]],trust_lookup[],3,0)</f>
        <v>ChelWest</v>
      </c>
      <c r="AD119" s="43">
        <v>46034</v>
      </c>
      <c r="AE119" s="2">
        <v>3</v>
      </c>
      <c r="AF119" s="2" t="s">
        <v>518</v>
      </c>
      <c r="AG119" s="2" t="s">
        <v>95</v>
      </c>
      <c r="AH119" s="2" t="s">
        <v>96</v>
      </c>
      <c r="AI119" s="2" t="s">
        <v>190</v>
      </c>
      <c r="AJ119" s="23">
        <v>2</v>
      </c>
      <c r="AK119" s="23">
        <v>1692</v>
      </c>
      <c r="AL119" s="23">
        <v>3664</v>
      </c>
      <c r="AM119" s="24">
        <v>0.46179039301309999</v>
      </c>
      <c r="AN119" s="44" t="str">
        <f>VLOOKUP(flu_aw25[[#This Row],[trust_code]],trust_lookup[],3,0)</f>
        <v>Homerton</v>
      </c>
      <c r="AP119" s="2" t="s">
        <v>76</v>
      </c>
      <c r="AQ119" s="2" t="s">
        <v>77</v>
      </c>
      <c r="AR119" s="2" t="s">
        <v>194</v>
      </c>
      <c r="AS119" s="2" t="s">
        <v>524</v>
      </c>
      <c r="AT119" s="2">
        <v>3</v>
      </c>
      <c r="AU119" s="44" t="str">
        <f>VLOOKUP(flu_location[[#This Row],[trust_code]],trust_lookup[],3,0)</f>
        <v>Epsom</v>
      </c>
      <c r="AW119" s="2" t="s">
        <v>101</v>
      </c>
      <c r="AX119" s="2" t="s">
        <v>102</v>
      </c>
      <c r="AY119" s="2" t="s">
        <v>654</v>
      </c>
      <c r="AZ119" s="2">
        <v>1220</v>
      </c>
      <c r="BA119" s="2">
        <v>448</v>
      </c>
      <c r="BB119" s="44" t="str">
        <f>VLOOKUP(age_group[[#This Row],[trust_code]],trust_lookup[],3,0)</f>
        <v>Imperial</v>
      </c>
    </row>
    <row r="120" spans="1:54" x14ac:dyDescent="0.35">
      <c r="A120" s="2" t="s">
        <v>518</v>
      </c>
      <c r="B120" s="2" t="s">
        <v>182</v>
      </c>
      <c r="C120" s="2" t="s">
        <v>183</v>
      </c>
      <c r="D120" s="2" t="s">
        <v>27</v>
      </c>
      <c r="E120" s="2" t="s">
        <v>60</v>
      </c>
      <c r="F120" s="2">
        <v>735</v>
      </c>
      <c r="G120" s="2">
        <v>370</v>
      </c>
      <c r="H120" s="14" t="str">
        <f>VLOOKUP(flu_group[[#This Row],[trust_code]],trust_lookup[],3,0)</f>
        <v>UCLH</v>
      </c>
      <c r="I120" s="14" t="str">
        <f>VLOOKUP(flu_group[[#This Row],[trust_code]],trust_lookup[],4,0)</f>
        <v>Acute</v>
      </c>
      <c r="K120" s="2" t="s">
        <v>518</v>
      </c>
      <c r="L120" s="2" t="s">
        <v>182</v>
      </c>
      <c r="M120" s="2" t="s">
        <v>183</v>
      </c>
      <c r="N120" s="2" t="s">
        <v>27</v>
      </c>
      <c r="O120" s="2" t="s">
        <v>36</v>
      </c>
      <c r="P120" s="2">
        <v>264</v>
      </c>
      <c r="R120" s="43">
        <v>45558</v>
      </c>
      <c r="S120" s="2">
        <v>39</v>
      </c>
      <c r="T120" s="2" t="s">
        <v>519</v>
      </c>
      <c r="U120" s="2" t="s">
        <v>55</v>
      </c>
      <c r="V120" s="2" t="s">
        <v>56</v>
      </c>
      <c r="W120" s="2" t="s">
        <v>192</v>
      </c>
      <c r="X120" s="23">
        <v>12</v>
      </c>
      <c r="Y120" s="23">
        <v>22</v>
      </c>
      <c r="Z120" s="23">
        <v>4899</v>
      </c>
      <c r="AA120" s="24">
        <v>4.4907123902837298E-3</v>
      </c>
      <c r="AB120" s="14" t="str">
        <f>VLOOKUP(flu_aw24[[#This Row],[trust_code]],trust_lookup[],3,0)</f>
        <v>ChelWest</v>
      </c>
      <c r="AD120" s="43">
        <v>46048</v>
      </c>
      <c r="AE120" s="2">
        <v>5</v>
      </c>
      <c r="AF120" s="2" t="s">
        <v>518</v>
      </c>
      <c r="AG120" s="2" t="s">
        <v>95</v>
      </c>
      <c r="AH120" s="2" t="s">
        <v>96</v>
      </c>
      <c r="AI120" s="2" t="s">
        <v>190</v>
      </c>
      <c r="AJ120" s="23">
        <v>2</v>
      </c>
      <c r="AK120" s="23">
        <v>1694</v>
      </c>
      <c r="AL120" s="23">
        <v>3664</v>
      </c>
      <c r="AM120" s="24">
        <v>0.46233624454148398</v>
      </c>
      <c r="AN120" s="44" t="str">
        <f>VLOOKUP(flu_aw25[[#This Row],[trust_code]],trust_lookup[],3,0)</f>
        <v>Homerton</v>
      </c>
      <c r="AP120" s="2" t="s">
        <v>113</v>
      </c>
      <c r="AQ120" s="2" t="s">
        <v>114</v>
      </c>
      <c r="AR120" s="2" t="s">
        <v>194</v>
      </c>
      <c r="AS120" s="2" t="s">
        <v>520</v>
      </c>
      <c r="AT120" s="2">
        <v>200</v>
      </c>
      <c r="AU120" s="44" t="str">
        <f>VLOOKUP(flu_location[[#This Row],[trust_code]],trust_lookup[],3,0)</f>
        <v>K&amp;R FT</v>
      </c>
      <c r="AW120" s="2" t="s">
        <v>101</v>
      </c>
      <c r="AX120" s="2" t="s">
        <v>102</v>
      </c>
      <c r="AY120" s="2" t="s">
        <v>655</v>
      </c>
      <c r="AZ120" s="2">
        <v>1163</v>
      </c>
      <c r="BA120" s="2">
        <v>424</v>
      </c>
      <c r="BB120" s="44" t="str">
        <f>VLOOKUP(age_group[[#This Row],[trust_code]],trust_lookup[],3,0)</f>
        <v>Imperial</v>
      </c>
    </row>
    <row r="121" spans="1:54" x14ac:dyDescent="0.35">
      <c r="A121" s="2" t="s">
        <v>518</v>
      </c>
      <c r="B121" s="2" t="s">
        <v>107</v>
      </c>
      <c r="C121" s="2" t="s">
        <v>108</v>
      </c>
      <c r="D121" s="2" t="s">
        <v>193</v>
      </c>
      <c r="E121" s="2" t="s">
        <v>60</v>
      </c>
      <c r="F121" s="2">
        <v>701</v>
      </c>
      <c r="G121" s="2">
        <v>363</v>
      </c>
      <c r="H121" s="14" t="str">
        <f>VLOOKUP(flu_group[[#This Row],[trust_code]],trust_lookup[],3,0)</f>
        <v>King's</v>
      </c>
      <c r="I121" s="14" t="str">
        <f>VLOOKUP(flu_group[[#This Row],[trust_code]],trust_lookup[],4,0)</f>
        <v>Acute</v>
      </c>
      <c r="K121" s="2" t="s">
        <v>518</v>
      </c>
      <c r="L121" s="2" t="s">
        <v>185</v>
      </c>
      <c r="M121" s="2" t="s">
        <v>186</v>
      </c>
      <c r="N121" s="2" t="s">
        <v>27</v>
      </c>
      <c r="O121" s="2" t="s">
        <v>68</v>
      </c>
      <c r="P121" s="2">
        <v>433</v>
      </c>
      <c r="R121" s="43">
        <v>45565</v>
      </c>
      <c r="S121" s="2">
        <v>40</v>
      </c>
      <c r="T121" s="2" t="s">
        <v>519</v>
      </c>
      <c r="U121" s="2" t="s">
        <v>55</v>
      </c>
      <c r="V121" s="2" t="s">
        <v>56</v>
      </c>
      <c r="W121" s="2" t="s">
        <v>192</v>
      </c>
      <c r="X121" s="23">
        <v>76</v>
      </c>
      <c r="Y121" s="23">
        <v>98</v>
      </c>
      <c r="Z121" s="23">
        <v>4899</v>
      </c>
      <c r="AA121" s="24">
        <v>2.00040824658093E-2</v>
      </c>
      <c r="AB121" s="14" t="str">
        <f>VLOOKUP(flu_aw24[[#This Row],[trust_code]],trust_lookup[],3,0)</f>
        <v>ChelWest</v>
      </c>
      <c r="AD121" s="43">
        <v>46062</v>
      </c>
      <c r="AE121" s="2">
        <v>7</v>
      </c>
      <c r="AF121" s="2" t="s">
        <v>518</v>
      </c>
      <c r="AG121" s="2" t="s">
        <v>95</v>
      </c>
      <c r="AH121" s="2" t="s">
        <v>96</v>
      </c>
      <c r="AI121" s="2" t="s">
        <v>190</v>
      </c>
      <c r="AJ121" s="23">
        <v>2</v>
      </c>
      <c r="AK121" s="23">
        <v>1696</v>
      </c>
      <c r="AL121" s="23">
        <v>3664</v>
      </c>
      <c r="AM121" s="24">
        <v>0.46288209606986902</v>
      </c>
      <c r="AN121" s="44" t="str">
        <f>VLOOKUP(flu_aw25[[#This Row],[trust_code]],trust_lookup[],3,0)</f>
        <v>Homerton</v>
      </c>
      <c r="AP121" s="2" t="s">
        <v>113</v>
      </c>
      <c r="AQ121" s="2" t="s">
        <v>114</v>
      </c>
      <c r="AR121" s="2" t="s">
        <v>194</v>
      </c>
      <c r="AS121" s="2" t="s">
        <v>521</v>
      </c>
      <c r="AT121" s="2">
        <v>1336</v>
      </c>
      <c r="AU121" s="44" t="str">
        <f>VLOOKUP(flu_location[[#This Row],[trust_code]],trust_lookup[],3,0)</f>
        <v>K&amp;R FT</v>
      </c>
      <c r="AW121" s="2" t="s">
        <v>101</v>
      </c>
      <c r="AX121" s="2" t="s">
        <v>102</v>
      </c>
      <c r="AY121" s="2" t="s">
        <v>656</v>
      </c>
      <c r="AZ121" s="2">
        <v>1229</v>
      </c>
      <c r="BA121" s="2">
        <v>433</v>
      </c>
      <c r="BB121" s="44" t="str">
        <f>VLOOKUP(age_group[[#This Row],[trust_code]],trust_lookup[],3,0)</f>
        <v>Imperial</v>
      </c>
    </row>
    <row r="122" spans="1:54" x14ac:dyDescent="0.35">
      <c r="A122" s="2" t="s">
        <v>518</v>
      </c>
      <c r="B122" s="2" t="s">
        <v>55</v>
      </c>
      <c r="C122" s="2" t="s">
        <v>56</v>
      </c>
      <c r="D122" s="2" t="s">
        <v>192</v>
      </c>
      <c r="E122" s="2" t="s">
        <v>60</v>
      </c>
      <c r="F122" s="2">
        <v>316</v>
      </c>
      <c r="G122" s="2">
        <v>146</v>
      </c>
      <c r="H122" s="14" t="str">
        <f>VLOOKUP(flu_group[[#This Row],[trust_code]],trust_lookup[],3,0)</f>
        <v>ChelWest</v>
      </c>
      <c r="I122" s="14" t="str">
        <f>VLOOKUP(flu_group[[#This Row],[trust_code]],trust_lookup[],4,0)</f>
        <v>Acute</v>
      </c>
      <c r="K122" s="2" t="s">
        <v>518</v>
      </c>
      <c r="L122" s="2" t="s">
        <v>185</v>
      </c>
      <c r="M122" s="2" t="s">
        <v>186</v>
      </c>
      <c r="N122" s="2" t="s">
        <v>27</v>
      </c>
      <c r="O122" s="2" t="s">
        <v>135</v>
      </c>
      <c r="P122" s="2">
        <v>41</v>
      </c>
      <c r="R122" s="43">
        <v>45572</v>
      </c>
      <c r="S122" s="2">
        <v>41</v>
      </c>
      <c r="T122" s="2" t="s">
        <v>519</v>
      </c>
      <c r="U122" s="2" t="s">
        <v>55</v>
      </c>
      <c r="V122" s="2" t="s">
        <v>56</v>
      </c>
      <c r="W122" s="2" t="s">
        <v>192</v>
      </c>
      <c r="X122" s="23">
        <v>530</v>
      </c>
      <c r="Y122" s="23">
        <v>628</v>
      </c>
      <c r="Z122" s="23">
        <v>4899</v>
      </c>
      <c r="AA122" s="24">
        <v>0.12818942641355299</v>
      </c>
      <c r="AB122" s="14" t="str">
        <f>VLOOKUP(flu_aw24[[#This Row],[trust_code]],trust_lookup[],3,0)</f>
        <v>ChelWest</v>
      </c>
      <c r="AD122" s="43">
        <v>45915</v>
      </c>
      <c r="AE122" s="2">
        <v>38</v>
      </c>
      <c r="AF122" s="2" t="s">
        <v>518</v>
      </c>
      <c r="AG122" s="2" t="s">
        <v>152</v>
      </c>
      <c r="AH122" s="2" t="s">
        <v>153</v>
      </c>
      <c r="AI122" s="2" t="s">
        <v>193</v>
      </c>
      <c r="AJ122" s="23">
        <v>1</v>
      </c>
      <c r="AK122" s="23">
        <v>1</v>
      </c>
      <c r="AL122" s="23">
        <v>3051</v>
      </c>
      <c r="AM122" s="24">
        <v>3.2776138970829199E-4</v>
      </c>
      <c r="AN122" s="44" t="str">
        <f>VLOOKUP(flu_aw25[[#This Row],[trust_code]],trust_lookup[],3,0)</f>
        <v>Oxleas</v>
      </c>
      <c r="AP122" s="2" t="s">
        <v>113</v>
      </c>
      <c r="AQ122" s="2" t="s">
        <v>114</v>
      </c>
      <c r="AR122" s="2" t="s">
        <v>194</v>
      </c>
      <c r="AS122" s="2" t="s">
        <v>522</v>
      </c>
      <c r="AT122" s="2">
        <v>225</v>
      </c>
      <c r="AU122" s="44" t="str">
        <f>VLOOKUP(flu_location[[#This Row],[trust_code]],trust_lookup[],3,0)</f>
        <v>K&amp;R FT</v>
      </c>
      <c r="AW122" s="2" t="s">
        <v>101</v>
      </c>
      <c r="AX122" s="2" t="s">
        <v>102</v>
      </c>
      <c r="AY122" s="2" t="s">
        <v>657</v>
      </c>
      <c r="AZ122" s="2">
        <v>1038</v>
      </c>
      <c r="BA122" s="2">
        <v>415</v>
      </c>
      <c r="BB122" s="44" t="str">
        <f>VLOOKUP(age_group[[#This Row],[trust_code]],trust_lookup[],3,0)</f>
        <v>Imperial</v>
      </c>
    </row>
    <row r="123" spans="1:54" x14ac:dyDescent="0.35">
      <c r="A123" s="2" t="s">
        <v>518</v>
      </c>
      <c r="B123" s="2" t="s">
        <v>136</v>
      </c>
      <c r="C123" s="2" t="s">
        <v>137</v>
      </c>
      <c r="D123" s="2" t="s">
        <v>27</v>
      </c>
      <c r="E123" s="2" t="s">
        <v>60</v>
      </c>
      <c r="F123" s="2">
        <v>55</v>
      </c>
      <c r="G123" s="2">
        <v>31</v>
      </c>
      <c r="H123" s="14" t="str">
        <f>VLOOKUP(flu_group[[#This Row],[trust_code]],trust_lookup[],3,0)</f>
        <v>Moorfields</v>
      </c>
      <c r="I123" s="14" t="str">
        <f>VLOOKUP(flu_group[[#This Row],[trust_code]],trust_lookup[],4,0)</f>
        <v>Specialist</v>
      </c>
      <c r="K123" s="2" t="s">
        <v>518</v>
      </c>
      <c r="L123" s="2" t="s">
        <v>185</v>
      </c>
      <c r="M123" s="2" t="s">
        <v>186</v>
      </c>
      <c r="N123" s="2" t="s">
        <v>27</v>
      </c>
      <c r="O123" s="2" t="s">
        <v>54</v>
      </c>
      <c r="P123" s="2">
        <v>159</v>
      </c>
      <c r="R123" s="43">
        <v>45579</v>
      </c>
      <c r="S123" s="2">
        <v>42</v>
      </c>
      <c r="T123" s="2" t="s">
        <v>519</v>
      </c>
      <c r="U123" s="2" t="s">
        <v>55</v>
      </c>
      <c r="V123" s="2" t="s">
        <v>56</v>
      </c>
      <c r="W123" s="2" t="s">
        <v>192</v>
      </c>
      <c r="X123" s="23">
        <v>236</v>
      </c>
      <c r="Y123" s="23">
        <v>864</v>
      </c>
      <c r="Z123" s="23">
        <v>4899</v>
      </c>
      <c r="AA123" s="24">
        <v>0.17636252296387001</v>
      </c>
      <c r="AB123" s="14" t="str">
        <f>VLOOKUP(flu_aw24[[#This Row],[trust_code]],trust_lookup[],3,0)</f>
        <v>ChelWest</v>
      </c>
      <c r="AD123" s="43">
        <v>45922</v>
      </c>
      <c r="AE123" s="2">
        <v>39</v>
      </c>
      <c r="AF123" s="2" t="s">
        <v>518</v>
      </c>
      <c r="AG123" s="2" t="s">
        <v>152</v>
      </c>
      <c r="AH123" s="2" t="s">
        <v>153</v>
      </c>
      <c r="AI123" s="2" t="s">
        <v>193</v>
      </c>
      <c r="AJ123" s="23">
        <v>1</v>
      </c>
      <c r="AK123" s="23">
        <v>2</v>
      </c>
      <c r="AL123" s="23">
        <v>3051</v>
      </c>
      <c r="AM123" s="24">
        <v>6.5552277941658397E-4</v>
      </c>
      <c r="AN123" s="44" t="str">
        <f>VLOOKUP(flu_aw25[[#This Row],[trust_code]],trust_lookup[],3,0)</f>
        <v>Oxleas</v>
      </c>
      <c r="AP123" s="2" t="s">
        <v>113</v>
      </c>
      <c r="AQ123" s="2" t="s">
        <v>114</v>
      </c>
      <c r="AR123" s="2" t="s">
        <v>194</v>
      </c>
      <c r="AS123" s="2" t="s">
        <v>523</v>
      </c>
      <c r="AT123" s="2">
        <v>5</v>
      </c>
      <c r="AU123" s="44" t="str">
        <f>VLOOKUP(flu_location[[#This Row],[trust_code]],trust_lookup[],3,0)</f>
        <v>K&amp;R FT</v>
      </c>
      <c r="AW123" s="2" t="s">
        <v>101</v>
      </c>
      <c r="AX123" s="2" t="s">
        <v>102</v>
      </c>
      <c r="AY123" s="2" t="s">
        <v>658</v>
      </c>
      <c r="AZ123" s="2">
        <v>673</v>
      </c>
      <c r="BA123" s="2">
        <v>316</v>
      </c>
      <c r="BB123" s="44" t="str">
        <f>VLOOKUP(age_group[[#This Row],[trust_code]],trust_lookup[],3,0)</f>
        <v>Imperial</v>
      </c>
    </row>
    <row r="124" spans="1:54" x14ac:dyDescent="0.35">
      <c r="A124" s="2" t="s">
        <v>518</v>
      </c>
      <c r="B124" s="2" t="s">
        <v>62</v>
      </c>
      <c r="C124" s="2" t="s">
        <v>63</v>
      </c>
      <c r="D124" s="2" t="s">
        <v>194</v>
      </c>
      <c r="E124" s="2" t="s">
        <v>60</v>
      </c>
      <c r="F124" s="2">
        <v>273</v>
      </c>
      <c r="G124" s="2">
        <v>122</v>
      </c>
      <c r="H124" s="14" t="str">
        <f>VLOOKUP(flu_group[[#This Row],[trust_code]],trust_lookup[],3,0)</f>
        <v>Croydon</v>
      </c>
      <c r="I124" s="14" t="str">
        <f>VLOOKUP(flu_group[[#This Row],[trust_code]],trust_lookup[],4,0)</f>
        <v>Acute &amp; Community</v>
      </c>
      <c r="K124" s="2" t="s">
        <v>518</v>
      </c>
      <c r="L124" s="2" t="s">
        <v>185</v>
      </c>
      <c r="M124" s="2" t="s">
        <v>186</v>
      </c>
      <c r="N124" s="2" t="s">
        <v>27</v>
      </c>
      <c r="O124" s="2" t="s">
        <v>129</v>
      </c>
      <c r="P124" s="2">
        <v>6</v>
      </c>
      <c r="R124" s="43">
        <v>45586</v>
      </c>
      <c r="S124" s="2">
        <v>43</v>
      </c>
      <c r="T124" s="2" t="s">
        <v>519</v>
      </c>
      <c r="U124" s="2" t="s">
        <v>55</v>
      </c>
      <c r="V124" s="2" t="s">
        <v>56</v>
      </c>
      <c r="W124" s="2" t="s">
        <v>192</v>
      </c>
      <c r="X124" s="23">
        <v>173</v>
      </c>
      <c r="Y124" s="23">
        <v>1037</v>
      </c>
      <c r="Z124" s="23">
        <v>4899</v>
      </c>
      <c r="AA124" s="24">
        <v>0.211675852214737</v>
      </c>
      <c r="AB124" s="14" t="str">
        <f>VLOOKUP(flu_aw24[[#This Row],[trust_code]],trust_lookup[],3,0)</f>
        <v>ChelWest</v>
      </c>
      <c r="AD124" s="43">
        <v>45929</v>
      </c>
      <c r="AE124" s="2">
        <v>40</v>
      </c>
      <c r="AF124" s="2" t="s">
        <v>518</v>
      </c>
      <c r="AG124" s="2" t="s">
        <v>152</v>
      </c>
      <c r="AH124" s="2" t="s">
        <v>153</v>
      </c>
      <c r="AI124" s="2" t="s">
        <v>193</v>
      </c>
      <c r="AJ124" s="23">
        <v>213</v>
      </c>
      <c r="AK124" s="23">
        <v>215</v>
      </c>
      <c r="AL124" s="23">
        <v>3051</v>
      </c>
      <c r="AM124" s="24">
        <v>7.0468698787282805E-2</v>
      </c>
      <c r="AN124" s="44" t="str">
        <f>VLOOKUP(flu_aw25[[#This Row],[trust_code]],trust_lookup[],3,0)</f>
        <v>Oxleas</v>
      </c>
      <c r="AP124" s="2" t="s">
        <v>113</v>
      </c>
      <c r="AQ124" s="2" t="s">
        <v>114</v>
      </c>
      <c r="AR124" s="2" t="s">
        <v>194</v>
      </c>
      <c r="AS124" s="2" t="s">
        <v>524</v>
      </c>
      <c r="AT124" s="2">
        <v>1</v>
      </c>
      <c r="AU124" s="64" t="str">
        <f>VLOOKUP(flu_location[[#This Row],[trust_code]],trust_lookup[],3,0)</f>
        <v>K&amp;R FT</v>
      </c>
      <c r="AW124" s="2" t="s">
        <v>101</v>
      </c>
      <c r="AX124" s="2" t="s">
        <v>102</v>
      </c>
      <c r="AY124" s="2" t="s">
        <v>659</v>
      </c>
      <c r="AZ124" s="2">
        <v>440</v>
      </c>
      <c r="BA124" s="2">
        <v>265</v>
      </c>
      <c r="BB124" s="44" t="str">
        <f>VLOOKUP(age_group[[#This Row],[trust_code]],trust_lookup[],3,0)</f>
        <v>Imperial</v>
      </c>
    </row>
    <row r="125" spans="1:54" x14ac:dyDescent="0.35">
      <c r="A125" s="2" t="s">
        <v>518</v>
      </c>
      <c r="B125" s="2" t="s">
        <v>142</v>
      </c>
      <c r="C125" s="2" t="s">
        <v>143</v>
      </c>
      <c r="D125" s="2" t="s">
        <v>190</v>
      </c>
      <c r="E125" s="2" t="s">
        <v>60</v>
      </c>
      <c r="F125" s="2">
        <v>717</v>
      </c>
      <c r="G125" s="2">
        <v>269</v>
      </c>
      <c r="H125" s="14" t="str">
        <f>VLOOKUP(flu_group[[#This Row],[trust_code]],trust_lookup[],3,0)</f>
        <v>NELFT</v>
      </c>
      <c r="I125" s="14" t="str">
        <f>VLOOKUP(flu_group[[#This Row],[trust_code]],trust_lookup[],4,0)</f>
        <v>Mental Health &amp; Community</v>
      </c>
      <c r="K125" s="2" t="s">
        <v>518</v>
      </c>
      <c r="L125" s="2" t="s">
        <v>185</v>
      </c>
      <c r="M125" s="2" t="s">
        <v>186</v>
      </c>
      <c r="N125" s="2" t="s">
        <v>27</v>
      </c>
      <c r="O125" s="2" t="s">
        <v>47</v>
      </c>
      <c r="P125" s="2">
        <v>6</v>
      </c>
      <c r="R125" s="43">
        <v>45593</v>
      </c>
      <c r="S125" s="2">
        <v>44</v>
      </c>
      <c r="T125" s="2" t="s">
        <v>519</v>
      </c>
      <c r="U125" s="2" t="s">
        <v>55</v>
      </c>
      <c r="V125" s="2" t="s">
        <v>56</v>
      </c>
      <c r="W125" s="2" t="s">
        <v>192</v>
      </c>
      <c r="X125" s="23">
        <v>153</v>
      </c>
      <c r="Y125" s="23">
        <v>1190</v>
      </c>
      <c r="Z125" s="23">
        <v>4899</v>
      </c>
      <c r="AA125" s="24">
        <v>0.24290671565625599</v>
      </c>
      <c r="AB125" s="14" t="str">
        <f>VLOOKUP(flu_aw24[[#This Row],[trust_code]],trust_lookup[],3,0)</f>
        <v>ChelWest</v>
      </c>
      <c r="AD125" s="43">
        <v>45936</v>
      </c>
      <c r="AE125" s="2">
        <v>41</v>
      </c>
      <c r="AF125" s="2" t="s">
        <v>518</v>
      </c>
      <c r="AG125" s="2" t="s">
        <v>152</v>
      </c>
      <c r="AH125" s="2" t="s">
        <v>153</v>
      </c>
      <c r="AI125" s="2" t="s">
        <v>193</v>
      </c>
      <c r="AJ125" s="23">
        <v>210</v>
      </c>
      <c r="AK125" s="23">
        <v>425</v>
      </c>
      <c r="AL125" s="23">
        <v>3051</v>
      </c>
      <c r="AM125" s="24">
        <v>0.13929859062602401</v>
      </c>
      <c r="AN125" s="44" t="str">
        <f>VLOOKUP(flu_aw25[[#This Row],[trust_code]],trust_lookup[],3,0)</f>
        <v>Oxleas</v>
      </c>
      <c r="AP125" s="2" t="s">
        <v>167</v>
      </c>
      <c r="AQ125" s="2" t="s">
        <v>168</v>
      </c>
      <c r="AR125" s="2" t="s">
        <v>194</v>
      </c>
      <c r="AS125" s="2" t="s">
        <v>520</v>
      </c>
      <c r="AT125" s="2">
        <v>173</v>
      </c>
      <c r="AU125" s="64" t="str">
        <f>VLOOKUP(flu_location[[#This Row],[trust_code]],trust_lookup[],3,0)</f>
        <v>SWL&amp;StG</v>
      </c>
      <c r="AW125" s="2" t="s">
        <v>107</v>
      </c>
      <c r="AX125" s="2" t="s">
        <v>108</v>
      </c>
      <c r="AY125" s="2" t="s">
        <v>650</v>
      </c>
      <c r="AZ125" s="2">
        <v>436</v>
      </c>
      <c r="BA125" s="2">
        <v>168</v>
      </c>
      <c r="BB125" s="44" t="str">
        <f>VLOOKUP(age_group[[#This Row],[trust_code]],trust_lookup[],3,0)</f>
        <v>King's</v>
      </c>
    </row>
    <row r="126" spans="1:54" x14ac:dyDescent="0.35">
      <c r="A126" s="2" t="s">
        <v>518</v>
      </c>
      <c r="B126" s="2" t="s">
        <v>167</v>
      </c>
      <c r="C126" s="2" t="s">
        <v>168</v>
      </c>
      <c r="D126" s="2" t="s">
        <v>194</v>
      </c>
      <c r="E126" s="2" t="s">
        <v>60</v>
      </c>
      <c r="F126" s="2">
        <v>120</v>
      </c>
      <c r="G126" s="2">
        <v>56</v>
      </c>
      <c r="H126" s="14" t="str">
        <f>VLOOKUP(flu_group[[#This Row],[trust_code]],trust_lookup[],3,0)</f>
        <v>SWL&amp;StG</v>
      </c>
      <c r="I126" s="14" t="str">
        <f>VLOOKUP(flu_group[[#This Row],[trust_code]],trust_lookup[],4,0)</f>
        <v>Mental Health</v>
      </c>
      <c r="K126" s="2" t="s">
        <v>518</v>
      </c>
      <c r="L126" s="2" t="s">
        <v>185</v>
      </c>
      <c r="M126" s="2" t="s">
        <v>186</v>
      </c>
      <c r="N126" s="2" t="s">
        <v>27</v>
      </c>
      <c r="O126" s="2" t="s">
        <v>94</v>
      </c>
      <c r="P126" s="2">
        <v>7</v>
      </c>
      <c r="R126" s="43">
        <v>45600</v>
      </c>
      <c r="S126" s="2">
        <v>45</v>
      </c>
      <c r="T126" s="2" t="s">
        <v>519</v>
      </c>
      <c r="U126" s="2" t="s">
        <v>55</v>
      </c>
      <c r="V126" s="2" t="s">
        <v>56</v>
      </c>
      <c r="W126" s="2" t="s">
        <v>192</v>
      </c>
      <c r="X126" s="23">
        <v>129</v>
      </c>
      <c r="Y126" s="23">
        <v>1319</v>
      </c>
      <c r="Z126" s="23">
        <v>4899</v>
      </c>
      <c r="AA126" s="24">
        <v>0.26923862012655603</v>
      </c>
      <c r="AB126" s="14" t="str">
        <f>VLOOKUP(flu_aw24[[#This Row],[trust_code]],trust_lookup[],3,0)</f>
        <v>ChelWest</v>
      </c>
      <c r="AD126" s="43">
        <v>45943</v>
      </c>
      <c r="AE126" s="2">
        <v>42</v>
      </c>
      <c r="AF126" s="2" t="s">
        <v>518</v>
      </c>
      <c r="AG126" s="2" t="s">
        <v>152</v>
      </c>
      <c r="AH126" s="2" t="s">
        <v>153</v>
      </c>
      <c r="AI126" s="2" t="s">
        <v>193</v>
      </c>
      <c r="AJ126" s="23">
        <v>192</v>
      </c>
      <c r="AK126" s="23">
        <v>617</v>
      </c>
      <c r="AL126" s="23">
        <v>3051</v>
      </c>
      <c r="AM126" s="24">
        <v>0.202228777450016</v>
      </c>
      <c r="AN126" s="44" t="str">
        <f>VLOOKUP(flu_aw25[[#This Row],[trust_code]],trust_lookup[],3,0)</f>
        <v>Oxleas</v>
      </c>
      <c r="AP126" s="2" t="s">
        <v>167</v>
      </c>
      <c r="AQ126" s="2" t="s">
        <v>168</v>
      </c>
      <c r="AR126" s="2" t="s">
        <v>194</v>
      </c>
      <c r="AS126" s="2" t="s">
        <v>521</v>
      </c>
      <c r="AT126" s="2">
        <v>460</v>
      </c>
      <c r="AU126" s="64" t="str">
        <f>VLOOKUP(flu_location[[#This Row],[trust_code]],trust_lookup[],3,0)</f>
        <v>SWL&amp;StG</v>
      </c>
      <c r="AW126" s="2" t="s">
        <v>107</v>
      </c>
      <c r="AX126" s="2" t="s">
        <v>108</v>
      </c>
      <c r="AY126" s="2" t="s">
        <v>651</v>
      </c>
      <c r="AZ126" s="2">
        <v>1253</v>
      </c>
      <c r="BA126" s="2">
        <v>570</v>
      </c>
      <c r="BB126" s="44" t="str">
        <f>VLOOKUP(age_group[[#This Row],[trust_code]],trust_lookup[],3,0)</f>
        <v>King's</v>
      </c>
    </row>
    <row r="127" spans="1:54" x14ac:dyDescent="0.35">
      <c r="A127" s="2" t="s">
        <v>518</v>
      </c>
      <c r="B127" s="2" t="s">
        <v>173</v>
      </c>
      <c r="C127" s="2" t="s">
        <v>174</v>
      </c>
      <c r="D127" s="2" t="s">
        <v>27</v>
      </c>
      <c r="E127" s="2" t="s">
        <v>60</v>
      </c>
      <c r="F127" s="2">
        <v>8</v>
      </c>
      <c r="G127" s="2">
        <v>3</v>
      </c>
      <c r="H127" s="14" t="str">
        <f>VLOOKUP(flu_group[[#This Row],[trust_code]],trust_lookup[],3,0)</f>
        <v>T&amp;P</v>
      </c>
      <c r="I127" s="14" t="str">
        <f>VLOOKUP(flu_group[[#This Row],[trust_code]],trust_lookup[],4,0)</f>
        <v>Mental Health</v>
      </c>
      <c r="K127" s="2" t="s">
        <v>518</v>
      </c>
      <c r="L127" s="2" t="s">
        <v>185</v>
      </c>
      <c r="M127" s="2" t="s">
        <v>186</v>
      </c>
      <c r="N127" s="2" t="s">
        <v>27</v>
      </c>
      <c r="O127" s="2" t="s">
        <v>29</v>
      </c>
      <c r="P127" s="2">
        <v>18</v>
      </c>
      <c r="R127" s="43">
        <v>45607</v>
      </c>
      <c r="S127" s="2">
        <v>46</v>
      </c>
      <c r="T127" s="2" t="s">
        <v>519</v>
      </c>
      <c r="U127" s="2" t="s">
        <v>55</v>
      </c>
      <c r="V127" s="2" t="s">
        <v>56</v>
      </c>
      <c r="W127" s="2" t="s">
        <v>192</v>
      </c>
      <c r="X127" s="23">
        <v>80</v>
      </c>
      <c r="Y127" s="23">
        <v>1399</v>
      </c>
      <c r="Z127" s="23">
        <v>4899</v>
      </c>
      <c r="AA127" s="24">
        <v>0.28556848336395102</v>
      </c>
      <c r="AB127" s="14" t="str">
        <f>VLOOKUP(flu_aw24[[#This Row],[trust_code]],trust_lookup[],3,0)</f>
        <v>ChelWest</v>
      </c>
      <c r="AD127" s="43">
        <v>45950</v>
      </c>
      <c r="AE127" s="2">
        <v>43</v>
      </c>
      <c r="AF127" s="2" t="s">
        <v>518</v>
      </c>
      <c r="AG127" s="2" t="s">
        <v>152</v>
      </c>
      <c r="AH127" s="2" t="s">
        <v>153</v>
      </c>
      <c r="AI127" s="2" t="s">
        <v>193</v>
      </c>
      <c r="AJ127" s="23">
        <v>86</v>
      </c>
      <c r="AK127" s="23">
        <v>703</v>
      </c>
      <c r="AL127" s="23">
        <v>3051</v>
      </c>
      <c r="AM127" s="24">
        <v>0.23041625696492901</v>
      </c>
      <c r="AN127" s="44" t="str">
        <f>VLOOKUP(flu_aw25[[#This Row],[trust_code]],trust_lookup[],3,0)</f>
        <v>Oxleas</v>
      </c>
      <c r="AP127" s="2" t="s">
        <v>167</v>
      </c>
      <c r="AQ127" s="2" t="s">
        <v>168</v>
      </c>
      <c r="AR127" s="2" t="s">
        <v>194</v>
      </c>
      <c r="AS127" s="2" t="s">
        <v>522</v>
      </c>
      <c r="AT127" s="2">
        <v>232</v>
      </c>
      <c r="AU127" s="64" t="str">
        <f>VLOOKUP(flu_location[[#This Row],[trust_code]],trust_lookup[],3,0)</f>
        <v>SWL&amp;StG</v>
      </c>
      <c r="AW127" s="2" t="s">
        <v>107</v>
      </c>
      <c r="AX127" s="2" t="s">
        <v>108</v>
      </c>
      <c r="AY127" s="2" t="s">
        <v>652</v>
      </c>
      <c r="AZ127" s="2">
        <v>1480</v>
      </c>
      <c r="BA127" s="2">
        <v>659</v>
      </c>
      <c r="BB127" s="44" t="str">
        <f>VLOOKUP(age_group[[#This Row],[trust_code]],trust_lookup[],3,0)</f>
        <v>King's</v>
      </c>
    </row>
    <row r="128" spans="1:54" x14ac:dyDescent="0.35">
      <c r="A128" s="2" t="s">
        <v>518</v>
      </c>
      <c r="B128" s="2" t="s">
        <v>113</v>
      </c>
      <c r="C128" s="2" t="s">
        <v>114</v>
      </c>
      <c r="D128" s="2" t="s">
        <v>194</v>
      </c>
      <c r="E128" s="2" t="s">
        <v>28</v>
      </c>
      <c r="F128" s="2">
        <v>71</v>
      </c>
      <c r="G128" s="2">
        <v>24</v>
      </c>
      <c r="H128" s="14" t="str">
        <f>VLOOKUP(flu_group[[#This Row],[trust_code]],trust_lookup[],3,0)</f>
        <v>K&amp;R FT</v>
      </c>
      <c r="I128" s="14" t="str">
        <f>VLOOKUP(flu_group[[#This Row],[trust_code]],trust_lookup[],4,0)</f>
        <v>Acute &amp; Community</v>
      </c>
      <c r="K128" s="2" t="s">
        <v>518</v>
      </c>
      <c r="L128" s="2" t="s">
        <v>185</v>
      </c>
      <c r="M128" s="2" t="s">
        <v>186</v>
      </c>
      <c r="N128" s="2" t="s">
        <v>27</v>
      </c>
      <c r="O128" s="2" t="s">
        <v>123</v>
      </c>
      <c r="P128" s="2">
        <v>83</v>
      </c>
      <c r="R128" s="43">
        <v>45614</v>
      </c>
      <c r="S128" s="2">
        <v>47</v>
      </c>
      <c r="T128" s="2" t="s">
        <v>519</v>
      </c>
      <c r="U128" s="2" t="s">
        <v>55</v>
      </c>
      <c r="V128" s="2" t="s">
        <v>56</v>
      </c>
      <c r="W128" s="2" t="s">
        <v>192</v>
      </c>
      <c r="X128" s="23">
        <v>81</v>
      </c>
      <c r="Y128" s="23">
        <v>1480</v>
      </c>
      <c r="Z128" s="23">
        <v>4899</v>
      </c>
      <c r="AA128" s="24">
        <v>0.302102469891814</v>
      </c>
      <c r="AB128" s="14" t="str">
        <f>VLOOKUP(flu_aw24[[#This Row],[trust_code]],trust_lookup[],3,0)</f>
        <v>ChelWest</v>
      </c>
      <c r="AD128" s="43">
        <v>45957</v>
      </c>
      <c r="AE128" s="2">
        <v>44</v>
      </c>
      <c r="AF128" s="2" t="s">
        <v>518</v>
      </c>
      <c r="AG128" s="2" t="s">
        <v>152</v>
      </c>
      <c r="AH128" s="2" t="s">
        <v>153</v>
      </c>
      <c r="AI128" s="2" t="s">
        <v>193</v>
      </c>
      <c r="AJ128" s="23">
        <v>68</v>
      </c>
      <c r="AK128" s="23">
        <v>771</v>
      </c>
      <c r="AL128" s="23">
        <v>3051</v>
      </c>
      <c r="AM128" s="24">
        <v>0.25270403146509302</v>
      </c>
      <c r="AN128" s="44" t="str">
        <f>VLOOKUP(flu_aw25[[#This Row],[trust_code]],trust_lookup[],3,0)</f>
        <v>Oxleas</v>
      </c>
      <c r="AP128" s="2" t="s">
        <v>167</v>
      </c>
      <c r="AQ128" s="2" t="s">
        <v>168</v>
      </c>
      <c r="AR128" s="2" t="s">
        <v>194</v>
      </c>
      <c r="AS128" s="2" t="s">
        <v>524</v>
      </c>
      <c r="AT128" s="2">
        <v>1</v>
      </c>
      <c r="AU128" s="64" t="str">
        <f>VLOOKUP(flu_location[[#This Row],[trust_code]],trust_lookup[],3,0)</f>
        <v>SWL&amp;StG</v>
      </c>
      <c r="AW128" s="2" t="s">
        <v>107</v>
      </c>
      <c r="AX128" s="2" t="s">
        <v>108</v>
      </c>
      <c r="AY128" s="2" t="s">
        <v>653</v>
      </c>
      <c r="AZ128" s="2">
        <v>1645</v>
      </c>
      <c r="BA128" s="2">
        <v>798</v>
      </c>
      <c r="BB128" s="44" t="str">
        <f>VLOOKUP(age_group[[#This Row],[trust_code]],trust_lookup[],3,0)</f>
        <v>King's</v>
      </c>
    </row>
    <row r="129" spans="1:54" x14ac:dyDescent="0.35">
      <c r="A129" s="2" t="s">
        <v>518</v>
      </c>
      <c r="B129" s="2" t="s">
        <v>187</v>
      </c>
      <c r="C129" s="2" t="s">
        <v>188</v>
      </c>
      <c r="D129" s="2" t="s">
        <v>192</v>
      </c>
      <c r="E129" s="2" t="s">
        <v>28</v>
      </c>
      <c r="F129" s="2">
        <v>264</v>
      </c>
      <c r="G129" s="2">
        <v>101</v>
      </c>
      <c r="H129" s="14" t="str">
        <f>VLOOKUP(flu_group[[#This Row],[trust_code]],trust_lookup[],3,0)</f>
        <v>West London</v>
      </c>
      <c r="I129" s="14" t="str">
        <f>VLOOKUP(flu_group[[#This Row],[trust_code]],trust_lookup[],4,0)</f>
        <v>Mental Health &amp; Community</v>
      </c>
      <c r="K129" s="2" t="s">
        <v>518</v>
      </c>
      <c r="L129" s="2" t="s">
        <v>185</v>
      </c>
      <c r="M129" s="2" t="s">
        <v>186</v>
      </c>
      <c r="N129" s="2" t="s">
        <v>27</v>
      </c>
      <c r="O129" s="2" t="s">
        <v>82</v>
      </c>
      <c r="P129" s="2">
        <v>10</v>
      </c>
      <c r="R129" s="43">
        <v>45621</v>
      </c>
      <c r="S129" s="2">
        <v>48</v>
      </c>
      <c r="T129" s="2" t="s">
        <v>519</v>
      </c>
      <c r="U129" s="2" t="s">
        <v>55</v>
      </c>
      <c r="V129" s="2" t="s">
        <v>56</v>
      </c>
      <c r="W129" s="2" t="s">
        <v>192</v>
      </c>
      <c r="X129" s="23">
        <v>60</v>
      </c>
      <c r="Y129" s="23">
        <v>1540</v>
      </c>
      <c r="Z129" s="23">
        <v>4899</v>
      </c>
      <c r="AA129" s="24">
        <v>0.31434986731986098</v>
      </c>
      <c r="AB129" s="14" t="str">
        <f>VLOOKUP(flu_aw24[[#This Row],[trust_code]],trust_lookup[],3,0)</f>
        <v>ChelWest</v>
      </c>
      <c r="AD129" s="43">
        <v>45964</v>
      </c>
      <c r="AE129" s="2">
        <v>45</v>
      </c>
      <c r="AF129" s="2" t="s">
        <v>518</v>
      </c>
      <c r="AG129" s="2" t="s">
        <v>152</v>
      </c>
      <c r="AH129" s="2" t="s">
        <v>153</v>
      </c>
      <c r="AI129" s="2" t="s">
        <v>193</v>
      </c>
      <c r="AJ129" s="23">
        <v>74</v>
      </c>
      <c r="AK129" s="23">
        <v>845</v>
      </c>
      <c r="AL129" s="23">
        <v>3051</v>
      </c>
      <c r="AM129" s="24">
        <v>0.276958374303507</v>
      </c>
      <c r="AN129" s="44" t="str">
        <f>VLOOKUP(flu_aw25[[#This Row],[trust_code]],trust_lookup[],3,0)</f>
        <v>Oxleas</v>
      </c>
      <c r="AP129" s="2" t="s">
        <v>170</v>
      </c>
      <c r="AQ129" s="2" t="s">
        <v>171</v>
      </c>
      <c r="AR129" s="2" t="s">
        <v>194</v>
      </c>
      <c r="AS129" s="2" t="s">
        <v>520</v>
      </c>
      <c r="AT129" s="2">
        <v>250</v>
      </c>
      <c r="AU129" s="64" t="str">
        <f>VLOOKUP(flu_location[[#This Row],[trust_code]],trust_lookup[],3,0)</f>
        <v>St George's</v>
      </c>
      <c r="AW129" s="2" t="s">
        <v>107</v>
      </c>
      <c r="AX129" s="2" t="s">
        <v>108</v>
      </c>
      <c r="AY129" s="2" t="s">
        <v>654</v>
      </c>
      <c r="AZ129" s="2">
        <v>1141</v>
      </c>
      <c r="BA129" s="2">
        <v>501</v>
      </c>
      <c r="BB129" s="44" t="str">
        <f>VLOOKUP(age_group[[#This Row],[trust_code]],trust_lookup[],3,0)</f>
        <v>King's</v>
      </c>
    </row>
    <row r="130" spans="1:54" x14ac:dyDescent="0.35">
      <c r="A130" s="2" t="s">
        <v>518</v>
      </c>
      <c r="B130" s="2" t="s">
        <v>89</v>
      </c>
      <c r="C130" s="2" t="s">
        <v>90</v>
      </c>
      <c r="D130" s="2" t="s">
        <v>193</v>
      </c>
      <c r="E130" s="2" t="s">
        <v>28</v>
      </c>
      <c r="F130" s="2">
        <v>1400</v>
      </c>
      <c r="G130" s="2">
        <v>352</v>
      </c>
      <c r="H130" s="14" t="str">
        <f>VLOOKUP(flu_group[[#This Row],[trust_code]],trust_lookup[],3,0)</f>
        <v>GSTT</v>
      </c>
      <c r="I130" s="14" t="str">
        <f>VLOOKUP(flu_group[[#This Row],[trust_code]],trust_lookup[],4,0)</f>
        <v>Acute</v>
      </c>
      <c r="K130" s="2" t="s">
        <v>518</v>
      </c>
      <c r="L130" s="2" t="s">
        <v>185</v>
      </c>
      <c r="M130" s="2" t="s">
        <v>186</v>
      </c>
      <c r="N130" s="2" t="s">
        <v>27</v>
      </c>
      <c r="O130" s="2" t="s">
        <v>88</v>
      </c>
      <c r="P130" s="2">
        <v>11</v>
      </c>
      <c r="R130" s="43">
        <v>45628</v>
      </c>
      <c r="S130" s="2">
        <v>49</v>
      </c>
      <c r="T130" s="2" t="s">
        <v>519</v>
      </c>
      <c r="U130" s="2" t="s">
        <v>55</v>
      </c>
      <c r="V130" s="2" t="s">
        <v>56</v>
      </c>
      <c r="W130" s="2" t="s">
        <v>192</v>
      </c>
      <c r="X130" s="23">
        <v>39</v>
      </c>
      <c r="Y130" s="23">
        <v>1579</v>
      </c>
      <c r="Z130" s="23">
        <v>4899</v>
      </c>
      <c r="AA130" s="24">
        <v>0.32231067564809102</v>
      </c>
      <c r="AB130" s="14" t="str">
        <f>VLOOKUP(flu_aw24[[#This Row],[trust_code]],trust_lookup[],3,0)</f>
        <v>ChelWest</v>
      </c>
      <c r="AD130" s="43">
        <v>45971</v>
      </c>
      <c r="AE130" s="2">
        <v>46</v>
      </c>
      <c r="AF130" s="2" t="s">
        <v>518</v>
      </c>
      <c r="AG130" s="2" t="s">
        <v>152</v>
      </c>
      <c r="AH130" s="2" t="s">
        <v>153</v>
      </c>
      <c r="AI130" s="2" t="s">
        <v>193</v>
      </c>
      <c r="AJ130" s="23">
        <v>58</v>
      </c>
      <c r="AK130" s="23">
        <v>903</v>
      </c>
      <c r="AL130" s="23">
        <v>3051</v>
      </c>
      <c r="AM130" s="24">
        <v>0.29596853490658798</v>
      </c>
      <c r="AN130" s="44" t="str">
        <f>VLOOKUP(flu_aw25[[#This Row],[trust_code]],trust_lookup[],3,0)</f>
        <v>Oxleas</v>
      </c>
      <c r="AP130" s="2" t="s">
        <v>170</v>
      </c>
      <c r="AQ130" s="2" t="s">
        <v>171</v>
      </c>
      <c r="AR130" s="2" t="s">
        <v>194</v>
      </c>
      <c r="AS130" s="2" t="s">
        <v>521</v>
      </c>
      <c r="AT130" s="2">
        <v>2379</v>
      </c>
      <c r="AU130" s="64" t="str">
        <f>VLOOKUP(flu_location[[#This Row],[trust_code]],trust_lookup[],3,0)</f>
        <v>St George's</v>
      </c>
      <c r="AW130" s="2" t="s">
        <v>107</v>
      </c>
      <c r="AX130" s="2" t="s">
        <v>108</v>
      </c>
      <c r="AY130" s="2" t="s">
        <v>655</v>
      </c>
      <c r="AZ130" s="2">
        <v>1097</v>
      </c>
      <c r="BA130" s="2">
        <v>478</v>
      </c>
      <c r="BB130" s="44" t="str">
        <f>VLOOKUP(age_group[[#This Row],[trust_code]],trust_lookup[],3,0)</f>
        <v>King's</v>
      </c>
    </row>
    <row r="131" spans="1:54" x14ac:dyDescent="0.35">
      <c r="A131" s="2" t="s">
        <v>518</v>
      </c>
      <c r="B131" s="2" t="s">
        <v>118</v>
      </c>
      <c r="C131" s="2" t="s">
        <v>119</v>
      </c>
      <c r="D131" s="2" t="s">
        <v>193</v>
      </c>
      <c r="E131" s="2" t="s">
        <v>28</v>
      </c>
      <c r="F131" s="2">
        <v>64</v>
      </c>
      <c r="G131" s="2">
        <v>18</v>
      </c>
      <c r="H131" s="14" t="str">
        <f>VLOOKUP(flu_group[[#This Row],[trust_code]],trust_lookup[],3,0)</f>
        <v>L&amp;G</v>
      </c>
      <c r="I131" s="14" t="str">
        <f>VLOOKUP(flu_group[[#This Row],[trust_code]],trust_lookup[],4,0)</f>
        <v>Acute</v>
      </c>
      <c r="K131" s="2" t="s">
        <v>518</v>
      </c>
      <c r="L131" s="2" t="s">
        <v>185</v>
      </c>
      <c r="M131" s="2" t="s">
        <v>186</v>
      </c>
      <c r="N131" s="2" t="s">
        <v>27</v>
      </c>
      <c r="O131" s="2" t="s">
        <v>141</v>
      </c>
      <c r="P131" s="2">
        <v>84</v>
      </c>
      <c r="R131" s="43">
        <v>45635</v>
      </c>
      <c r="S131" s="2">
        <v>50</v>
      </c>
      <c r="T131" s="2" t="s">
        <v>519</v>
      </c>
      <c r="U131" s="2" t="s">
        <v>55</v>
      </c>
      <c r="V131" s="2" t="s">
        <v>56</v>
      </c>
      <c r="W131" s="2" t="s">
        <v>192</v>
      </c>
      <c r="X131" s="23">
        <v>86</v>
      </c>
      <c r="Y131" s="23">
        <v>1665</v>
      </c>
      <c r="Z131" s="23">
        <v>4899</v>
      </c>
      <c r="AA131" s="24">
        <v>0.33986527862829102</v>
      </c>
      <c r="AB131" s="14" t="str">
        <f>VLOOKUP(flu_aw24[[#This Row],[trust_code]],trust_lookup[],3,0)</f>
        <v>ChelWest</v>
      </c>
      <c r="AD131" s="43">
        <v>45978</v>
      </c>
      <c r="AE131" s="2">
        <v>47</v>
      </c>
      <c r="AF131" s="2" t="s">
        <v>518</v>
      </c>
      <c r="AG131" s="2" t="s">
        <v>152</v>
      </c>
      <c r="AH131" s="2" t="s">
        <v>153</v>
      </c>
      <c r="AI131" s="2" t="s">
        <v>193</v>
      </c>
      <c r="AJ131" s="23">
        <v>58</v>
      </c>
      <c r="AK131" s="23">
        <v>961</v>
      </c>
      <c r="AL131" s="23">
        <v>3051</v>
      </c>
      <c r="AM131" s="24">
        <v>0.31497869550966801</v>
      </c>
      <c r="AN131" s="44" t="str">
        <f>VLOOKUP(flu_aw25[[#This Row],[trust_code]],trust_lookup[],3,0)</f>
        <v>Oxleas</v>
      </c>
      <c r="AP131" s="2" t="s">
        <v>170</v>
      </c>
      <c r="AQ131" s="2" t="s">
        <v>171</v>
      </c>
      <c r="AR131" s="2" t="s">
        <v>194</v>
      </c>
      <c r="AS131" s="2" t="s">
        <v>522</v>
      </c>
      <c r="AT131" s="2">
        <v>217</v>
      </c>
      <c r="AU131" s="64" t="str">
        <f>VLOOKUP(flu_location[[#This Row],[trust_code]],trust_lookup[],3,0)</f>
        <v>St George's</v>
      </c>
      <c r="AW131" s="2" t="s">
        <v>107</v>
      </c>
      <c r="AX131" s="2" t="s">
        <v>108</v>
      </c>
      <c r="AY131" s="2" t="s">
        <v>656</v>
      </c>
      <c r="AZ131" s="2">
        <v>951</v>
      </c>
      <c r="BA131" s="2">
        <v>400</v>
      </c>
      <c r="BB131" s="44" t="str">
        <f>VLOOKUP(age_group[[#This Row],[trust_code]],trust_lookup[],3,0)</f>
        <v>King's</v>
      </c>
    </row>
    <row r="132" spans="1:54" x14ac:dyDescent="0.35">
      <c r="A132" s="2" t="s">
        <v>518</v>
      </c>
      <c r="B132" s="2" t="s">
        <v>157</v>
      </c>
      <c r="C132" s="2" t="s">
        <v>158</v>
      </c>
      <c r="D132" s="2" t="s">
        <v>27</v>
      </c>
      <c r="E132" s="2" t="s">
        <v>28</v>
      </c>
      <c r="F132" s="2">
        <v>738</v>
      </c>
      <c r="G132" s="2">
        <v>233</v>
      </c>
      <c r="H132" s="14" t="str">
        <f>VLOOKUP(flu_group[[#This Row],[trust_code]],trust_lookup[],3,0)</f>
        <v>Royal Free</v>
      </c>
      <c r="I132" s="14" t="str">
        <f>VLOOKUP(flu_group[[#This Row],[trust_code]],trust_lookup[],4,0)</f>
        <v>Acute</v>
      </c>
      <c r="K132" s="2" t="s">
        <v>518</v>
      </c>
      <c r="L132" s="2" t="s">
        <v>185</v>
      </c>
      <c r="M132" s="2" t="s">
        <v>186</v>
      </c>
      <c r="N132" s="2" t="s">
        <v>27</v>
      </c>
      <c r="O132" s="2" t="s">
        <v>61</v>
      </c>
      <c r="P132" s="2">
        <v>21</v>
      </c>
      <c r="R132" s="43">
        <v>45642</v>
      </c>
      <c r="S132" s="2">
        <v>51</v>
      </c>
      <c r="T132" s="2" t="s">
        <v>519</v>
      </c>
      <c r="U132" s="2" t="s">
        <v>55</v>
      </c>
      <c r="V132" s="2" t="s">
        <v>56</v>
      </c>
      <c r="W132" s="2" t="s">
        <v>192</v>
      </c>
      <c r="X132" s="23">
        <v>50</v>
      </c>
      <c r="Y132" s="23">
        <v>1715</v>
      </c>
      <c r="Z132" s="23">
        <v>4899</v>
      </c>
      <c r="AA132" s="24">
        <v>0.350071443151663</v>
      </c>
      <c r="AB132" s="14" t="str">
        <f>VLOOKUP(flu_aw24[[#This Row],[trust_code]],trust_lookup[],3,0)</f>
        <v>ChelWest</v>
      </c>
      <c r="AD132" s="43">
        <v>45985</v>
      </c>
      <c r="AE132" s="2">
        <v>48</v>
      </c>
      <c r="AF132" s="2" t="s">
        <v>518</v>
      </c>
      <c r="AG132" s="2" t="s">
        <v>152</v>
      </c>
      <c r="AH132" s="2" t="s">
        <v>153</v>
      </c>
      <c r="AI132" s="2" t="s">
        <v>193</v>
      </c>
      <c r="AJ132" s="23">
        <v>51</v>
      </c>
      <c r="AK132" s="23">
        <v>1012</v>
      </c>
      <c r="AL132" s="23">
        <v>3051</v>
      </c>
      <c r="AM132" s="24">
        <v>0.33169452638479102</v>
      </c>
      <c r="AN132" s="44" t="str">
        <f>VLOOKUP(flu_aw25[[#This Row],[trust_code]],trust_lookup[],3,0)</f>
        <v>Oxleas</v>
      </c>
      <c r="AP132" s="2" t="s">
        <v>170</v>
      </c>
      <c r="AQ132" s="2" t="s">
        <v>171</v>
      </c>
      <c r="AR132" s="2" t="s">
        <v>194</v>
      </c>
      <c r="AS132" s="2" t="s">
        <v>523</v>
      </c>
      <c r="AT132" s="2">
        <v>1</v>
      </c>
      <c r="AU132" s="64" t="str">
        <f>VLOOKUP(flu_location[[#This Row],[trust_code]],trust_lookup[],3,0)</f>
        <v>St George's</v>
      </c>
      <c r="AW132" s="2" t="s">
        <v>107</v>
      </c>
      <c r="AX132" s="2" t="s">
        <v>108</v>
      </c>
      <c r="AY132" s="2" t="s">
        <v>657</v>
      </c>
      <c r="AZ132" s="2">
        <v>737</v>
      </c>
      <c r="BA132" s="2">
        <v>369</v>
      </c>
      <c r="BB132" s="44" t="str">
        <f>VLOOKUP(age_group[[#This Row],[trust_code]],trust_lookup[],3,0)</f>
        <v>King's</v>
      </c>
    </row>
    <row r="133" spans="1:54" x14ac:dyDescent="0.35">
      <c r="A133" s="2" t="s">
        <v>518</v>
      </c>
      <c r="B133" s="2" t="s">
        <v>62</v>
      </c>
      <c r="C133" s="2" t="s">
        <v>63</v>
      </c>
      <c r="D133" s="2" t="s">
        <v>194</v>
      </c>
      <c r="E133" s="2" t="s">
        <v>28</v>
      </c>
      <c r="F133" s="2">
        <v>128</v>
      </c>
      <c r="G133" s="2">
        <v>47</v>
      </c>
      <c r="H133" s="14" t="str">
        <f>VLOOKUP(flu_group[[#This Row],[trust_code]],trust_lookup[],3,0)</f>
        <v>Croydon</v>
      </c>
      <c r="I133" s="14" t="str">
        <f>VLOOKUP(flu_group[[#This Row],[trust_code]],trust_lookup[],4,0)</f>
        <v>Acute &amp; Community</v>
      </c>
      <c r="K133" s="2" t="s">
        <v>518</v>
      </c>
      <c r="L133" s="2" t="s">
        <v>185</v>
      </c>
      <c r="M133" s="2" t="s">
        <v>186</v>
      </c>
      <c r="N133" s="2" t="s">
        <v>27</v>
      </c>
      <c r="O133" s="2" t="s">
        <v>100</v>
      </c>
      <c r="P133" s="2">
        <v>97</v>
      </c>
      <c r="R133" s="43">
        <v>45649</v>
      </c>
      <c r="S133" s="2">
        <v>52</v>
      </c>
      <c r="T133" s="2" t="s">
        <v>519</v>
      </c>
      <c r="U133" s="2" t="s">
        <v>55</v>
      </c>
      <c r="V133" s="2" t="s">
        <v>56</v>
      </c>
      <c r="W133" s="2" t="s">
        <v>192</v>
      </c>
      <c r="X133" s="23">
        <v>2</v>
      </c>
      <c r="Y133" s="23">
        <v>1717</v>
      </c>
      <c r="Z133" s="23">
        <v>4899</v>
      </c>
      <c r="AA133" s="24">
        <v>0.35047968973259802</v>
      </c>
      <c r="AB133" s="14" t="str">
        <f>VLOOKUP(flu_aw24[[#This Row],[trust_code]],trust_lookup[],3,0)</f>
        <v>ChelWest</v>
      </c>
      <c r="AD133" s="43">
        <v>45992</v>
      </c>
      <c r="AE133" s="2">
        <v>49</v>
      </c>
      <c r="AF133" s="2" t="s">
        <v>518</v>
      </c>
      <c r="AG133" s="2" t="s">
        <v>152</v>
      </c>
      <c r="AH133" s="2" t="s">
        <v>153</v>
      </c>
      <c r="AI133" s="2" t="s">
        <v>193</v>
      </c>
      <c r="AJ133" s="23">
        <v>33</v>
      </c>
      <c r="AK133" s="23">
        <v>1045</v>
      </c>
      <c r="AL133" s="23">
        <v>3051</v>
      </c>
      <c r="AM133" s="24">
        <v>0.34251065224516503</v>
      </c>
      <c r="AN133" s="44" t="str">
        <f>VLOOKUP(flu_aw25[[#This Row],[trust_code]],trust_lookup[],3,0)</f>
        <v>Oxleas</v>
      </c>
      <c r="AP133" s="2" t="s">
        <v>170</v>
      </c>
      <c r="AQ133" s="2" t="s">
        <v>171</v>
      </c>
      <c r="AR133" s="2" t="s">
        <v>194</v>
      </c>
      <c r="AS133" s="2" t="s">
        <v>524</v>
      </c>
      <c r="AT133" s="2">
        <v>1</v>
      </c>
      <c r="AU133" s="23" t="str">
        <f>VLOOKUP(flu_location[[#This Row],[trust_code]],trust_lookup[],3,0)</f>
        <v>St George's</v>
      </c>
      <c r="AW133" s="2" t="s">
        <v>107</v>
      </c>
      <c r="AX133" s="2" t="s">
        <v>108</v>
      </c>
      <c r="AY133" s="2" t="s">
        <v>658</v>
      </c>
      <c r="AZ133" s="2">
        <v>498</v>
      </c>
      <c r="BA133" s="2">
        <v>256</v>
      </c>
      <c r="BB133" s="44" t="str">
        <f>VLOOKUP(age_group[[#This Row],[trust_code]],trust_lookup[],3,0)</f>
        <v>King's</v>
      </c>
    </row>
    <row r="134" spans="1:54" x14ac:dyDescent="0.35">
      <c r="A134" s="2" t="s">
        <v>518</v>
      </c>
      <c r="B134" s="2" t="s">
        <v>176</v>
      </c>
      <c r="C134" s="2" t="s">
        <v>177</v>
      </c>
      <c r="D134" s="2" t="s">
        <v>192</v>
      </c>
      <c r="E134" s="2" t="s">
        <v>28</v>
      </c>
      <c r="F134" s="2">
        <v>332</v>
      </c>
      <c r="G134" s="2">
        <v>136</v>
      </c>
      <c r="H134" s="14" t="str">
        <f>VLOOKUP(flu_group[[#This Row],[trust_code]],trust_lookup[],3,0)</f>
        <v>Hillingdon</v>
      </c>
      <c r="I134" s="14" t="str">
        <f>VLOOKUP(flu_group[[#This Row],[trust_code]],trust_lookup[],4,0)</f>
        <v>Acute</v>
      </c>
      <c r="K134" s="2" t="s">
        <v>518</v>
      </c>
      <c r="L134" s="2" t="s">
        <v>185</v>
      </c>
      <c r="M134" s="2" t="s">
        <v>186</v>
      </c>
      <c r="N134" s="2" t="s">
        <v>27</v>
      </c>
      <c r="O134" s="2" t="s">
        <v>75</v>
      </c>
      <c r="P134" s="2">
        <v>23</v>
      </c>
      <c r="R134" s="43">
        <v>45656</v>
      </c>
      <c r="S134" s="2">
        <v>1</v>
      </c>
      <c r="T134" s="2" t="s">
        <v>519</v>
      </c>
      <c r="U134" s="2" t="s">
        <v>55</v>
      </c>
      <c r="V134" s="2" t="s">
        <v>56</v>
      </c>
      <c r="W134" s="2" t="s">
        <v>192</v>
      </c>
      <c r="X134" s="23">
        <v>6</v>
      </c>
      <c r="Y134" s="23">
        <v>1723</v>
      </c>
      <c r="Z134" s="23">
        <v>4899</v>
      </c>
      <c r="AA134" s="24">
        <v>0.35170442947540298</v>
      </c>
      <c r="AB134" s="14" t="str">
        <f>VLOOKUP(flu_aw24[[#This Row],[trust_code]],trust_lookup[],3,0)</f>
        <v>ChelWest</v>
      </c>
      <c r="AD134" s="43">
        <v>45999</v>
      </c>
      <c r="AE134" s="2">
        <v>50</v>
      </c>
      <c r="AF134" s="2" t="s">
        <v>518</v>
      </c>
      <c r="AG134" s="2" t="s">
        <v>152</v>
      </c>
      <c r="AH134" s="2" t="s">
        <v>153</v>
      </c>
      <c r="AI134" s="2" t="s">
        <v>193</v>
      </c>
      <c r="AJ134" s="23">
        <v>48</v>
      </c>
      <c r="AK134" s="23">
        <v>1093</v>
      </c>
      <c r="AL134" s="23">
        <v>3051</v>
      </c>
      <c r="AM134" s="24">
        <v>0.35824319895116302</v>
      </c>
      <c r="AN134" s="44" t="str">
        <f>VLOOKUP(flu_aw25[[#This Row],[trust_code]],trust_lookup[],3,0)</f>
        <v>Oxleas</v>
      </c>
      <c r="AP134" s="2" t="s">
        <v>179</v>
      </c>
      <c r="AQ134" s="2" t="s">
        <v>180</v>
      </c>
      <c r="AR134" s="2" t="s">
        <v>194</v>
      </c>
      <c r="AS134" s="2" t="s">
        <v>520</v>
      </c>
      <c r="AT134" s="2">
        <v>135</v>
      </c>
      <c r="AU134" s="23" t="str">
        <f>VLOOKUP(flu_location[[#This Row],[trust_code]],trust_lookup[],3,0)</f>
        <v>Marsden</v>
      </c>
      <c r="AW134" s="2" t="s">
        <v>107</v>
      </c>
      <c r="AX134" s="2" t="s">
        <v>108</v>
      </c>
      <c r="AY134" s="2" t="s">
        <v>659</v>
      </c>
      <c r="AZ134" s="2">
        <v>272</v>
      </c>
      <c r="BA134" s="2">
        <v>180</v>
      </c>
      <c r="BB134" s="44" t="str">
        <f>VLOOKUP(age_group[[#This Row],[trust_code]],trust_lookup[],3,0)</f>
        <v>King's</v>
      </c>
    </row>
    <row r="135" spans="1:54" x14ac:dyDescent="0.35">
      <c r="A135" s="2" t="s">
        <v>518</v>
      </c>
      <c r="B135" s="2" t="s">
        <v>164</v>
      </c>
      <c r="C135" s="2" t="s">
        <v>165</v>
      </c>
      <c r="D135" s="2" t="s">
        <v>193</v>
      </c>
      <c r="E135" s="2" t="s">
        <v>28</v>
      </c>
      <c r="F135" s="2">
        <v>100</v>
      </c>
      <c r="G135" s="2">
        <v>34</v>
      </c>
      <c r="H135" s="14" t="str">
        <f>VLOOKUP(flu_group[[#This Row],[trust_code]],trust_lookup[],3,0)</f>
        <v>SLAM</v>
      </c>
      <c r="I135" s="14" t="str">
        <f>VLOOKUP(flu_group[[#This Row],[trust_code]],trust_lookup[],4,0)</f>
        <v>Mental Health</v>
      </c>
      <c r="K135" s="2" t="s">
        <v>518</v>
      </c>
      <c r="L135" s="2" t="s">
        <v>185</v>
      </c>
      <c r="M135" s="2" t="s">
        <v>186</v>
      </c>
      <c r="N135" s="2" t="s">
        <v>27</v>
      </c>
      <c r="O135" s="2" t="s">
        <v>106</v>
      </c>
      <c r="P135" s="2">
        <v>12</v>
      </c>
      <c r="R135" s="43">
        <v>45663</v>
      </c>
      <c r="S135" s="2">
        <v>2</v>
      </c>
      <c r="T135" s="2" t="s">
        <v>519</v>
      </c>
      <c r="U135" s="2" t="s">
        <v>55</v>
      </c>
      <c r="V135" s="2" t="s">
        <v>56</v>
      </c>
      <c r="W135" s="2" t="s">
        <v>192</v>
      </c>
      <c r="X135" s="23">
        <v>17</v>
      </c>
      <c r="Y135" s="23">
        <v>1740</v>
      </c>
      <c r="Z135" s="23">
        <v>4899</v>
      </c>
      <c r="AA135" s="24">
        <v>0.35517452541334898</v>
      </c>
      <c r="AB135" s="14" t="str">
        <f>VLOOKUP(flu_aw24[[#This Row],[trust_code]],trust_lookup[],3,0)</f>
        <v>ChelWest</v>
      </c>
      <c r="AD135" s="43">
        <v>46006</v>
      </c>
      <c r="AE135" s="2">
        <v>51</v>
      </c>
      <c r="AF135" s="2" t="s">
        <v>518</v>
      </c>
      <c r="AG135" s="2" t="s">
        <v>152</v>
      </c>
      <c r="AH135" s="2" t="s">
        <v>153</v>
      </c>
      <c r="AI135" s="2" t="s">
        <v>193</v>
      </c>
      <c r="AJ135" s="23">
        <v>30</v>
      </c>
      <c r="AK135" s="23">
        <v>1123</v>
      </c>
      <c r="AL135" s="23">
        <v>3051</v>
      </c>
      <c r="AM135" s="24">
        <v>0.36807604064241201</v>
      </c>
      <c r="AN135" s="44" t="str">
        <f>VLOOKUP(flu_aw25[[#This Row],[trust_code]],trust_lookup[],3,0)</f>
        <v>Oxleas</v>
      </c>
      <c r="AP135" s="2" t="s">
        <v>179</v>
      </c>
      <c r="AQ135" s="2" t="s">
        <v>180</v>
      </c>
      <c r="AR135" s="2" t="s">
        <v>194</v>
      </c>
      <c r="AS135" s="2" t="s">
        <v>521</v>
      </c>
      <c r="AT135" s="2">
        <v>1345</v>
      </c>
      <c r="AU135" s="23" t="str">
        <f>VLOOKUP(flu_location[[#This Row],[trust_code]],trust_lookup[],3,0)</f>
        <v>Marsden</v>
      </c>
      <c r="AW135" s="2" t="s">
        <v>113</v>
      </c>
      <c r="AX135" s="2" t="s">
        <v>114</v>
      </c>
      <c r="AY135" s="2" t="s">
        <v>650</v>
      </c>
      <c r="AZ135" s="2">
        <v>129</v>
      </c>
      <c r="BA135" s="2">
        <v>51</v>
      </c>
      <c r="BB135" s="44" t="str">
        <f>VLOOKUP(age_group[[#This Row],[trust_code]],trust_lookup[],3,0)</f>
        <v>K&amp;R FT</v>
      </c>
    </row>
    <row r="136" spans="1:54" x14ac:dyDescent="0.35">
      <c r="A136" s="2" t="s">
        <v>518</v>
      </c>
      <c r="B136" s="2" t="s">
        <v>95</v>
      </c>
      <c r="C136" s="2" t="s">
        <v>96</v>
      </c>
      <c r="D136" s="2" t="s">
        <v>190</v>
      </c>
      <c r="E136" s="2" t="s">
        <v>28</v>
      </c>
      <c r="F136" s="2">
        <v>29</v>
      </c>
      <c r="G136" s="2">
        <v>16</v>
      </c>
      <c r="H136" s="14" t="str">
        <f>VLOOKUP(flu_group[[#This Row],[trust_code]],trust_lookup[],3,0)</f>
        <v>Homerton</v>
      </c>
      <c r="I136" s="14" t="str">
        <f>VLOOKUP(flu_group[[#This Row],[trust_code]],trust_lookup[],4,0)</f>
        <v>Acute</v>
      </c>
      <c r="K136" s="2" t="s">
        <v>518</v>
      </c>
      <c r="L136" s="2" t="s">
        <v>185</v>
      </c>
      <c r="M136" s="2" t="s">
        <v>186</v>
      </c>
      <c r="N136" s="2" t="s">
        <v>27</v>
      </c>
      <c r="O136" s="2" t="s">
        <v>112</v>
      </c>
      <c r="P136" s="2">
        <v>79</v>
      </c>
      <c r="R136" s="43">
        <v>45670</v>
      </c>
      <c r="S136" s="2">
        <v>3</v>
      </c>
      <c r="T136" s="2" t="s">
        <v>519</v>
      </c>
      <c r="U136" s="2" t="s">
        <v>55</v>
      </c>
      <c r="V136" s="2" t="s">
        <v>56</v>
      </c>
      <c r="W136" s="2" t="s">
        <v>192</v>
      </c>
      <c r="X136" s="23">
        <v>6</v>
      </c>
      <c r="Y136" s="23">
        <v>1746</v>
      </c>
      <c r="Z136" s="23">
        <v>4899</v>
      </c>
      <c r="AA136" s="24">
        <v>0.356399265156154</v>
      </c>
      <c r="AB136" s="14" t="str">
        <f>VLOOKUP(flu_aw24[[#This Row],[trust_code]],trust_lookup[],3,0)</f>
        <v>ChelWest</v>
      </c>
      <c r="AD136" s="43">
        <v>46013</v>
      </c>
      <c r="AE136" s="2">
        <v>52</v>
      </c>
      <c r="AF136" s="2" t="s">
        <v>518</v>
      </c>
      <c r="AG136" s="2" t="s">
        <v>152</v>
      </c>
      <c r="AH136" s="2" t="s">
        <v>153</v>
      </c>
      <c r="AI136" s="2" t="s">
        <v>193</v>
      </c>
      <c r="AJ136" s="23">
        <v>4</v>
      </c>
      <c r="AK136" s="23">
        <v>1127</v>
      </c>
      <c r="AL136" s="23">
        <v>3051</v>
      </c>
      <c r="AM136" s="24">
        <v>0.369387086201245</v>
      </c>
      <c r="AN136" s="44" t="str">
        <f>VLOOKUP(flu_aw25[[#This Row],[trust_code]],trust_lookup[],3,0)</f>
        <v>Oxleas</v>
      </c>
      <c r="AP136" s="2" t="s">
        <v>179</v>
      </c>
      <c r="AQ136" s="2" t="s">
        <v>180</v>
      </c>
      <c r="AR136" s="2" t="s">
        <v>194</v>
      </c>
      <c r="AS136" s="2" t="s">
        <v>522</v>
      </c>
      <c r="AT136" s="2">
        <v>103</v>
      </c>
      <c r="AU136" s="23" t="str">
        <f>VLOOKUP(flu_location[[#This Row],[trust_code]],trust_lookup[],3,0)</f>
        <v>Marsden</v>
      </c>
      <c r="AW136" s="2" t="s">
        <v>113</v>
      </c>
      <c r="AX136" s="2" t="s">
        <v>114</v>
      </c>
      <c r="AY136" s="2" t="s">
        <v>651</v>
      </c>
      <c r="AZ136" s="2">
        <v>392</v>
      </c>
      <c r="BA136" s="2">
        <v>164</v>
      </c>
      <c r="BB136" s="44" t="str">
        <f>VLOOKUP(age_group[[#This Row],[trust_code]],trust_lookup[],3,0)</f>
        <v>K&amp;R FT</v>
      </c>
    </row>
    <row r="137" spans="1:54" x14ac:dyDescent="0.35">
      <c r="A137" s="2" t="s">
        <v>518</v>
      </c>
      <c r="B137" s="2" t="s">
        <v>101</v>
      </c>
      <c r="C137" s="2" t="s">
        <v>102</v>
      </c>
      <c r="D137" s="2" t="s">
        <v>192</v>
      </c>
      <c r="E137" s="2" t="s">
        <v>28</v>
      </c>
      <c r="F137" s="2">
        <v>981</v>
      </c>
      <c r="G137" s="2">
        <v>272</v>
      </c>
      <c r="H137" s="14" t="str">
        <f>VLOOKUP(flu_group[[#This Row],[trust_code]],trust_lookup[],3,0)</f>
        <v>Imperial</v>
      </c>
      <c r="I137" s="14" t="str">
        <f>VLOOKUP(flu_group[[#This Row],[trust_code]],trust_lookup[],4,0)</f>
        <v>Acute</v>
      </c>
      <c r="K137" s="2" t="s">
        <v>518</v>
      </c>
      <c r="L137" s="2" t="s">
        <v>185</v>
      </c>
      <c r="M137" s="2" t="s">
        <v>186</v>
      </c>
      <c r="N137" s="2" t="s">
        <v>27</v>
      </c>
      <c r="O137" s="2" t="s">
        <v>36</v>
      </c>
      <c r="P137" s="2">
        <v>95</v>
      </c>
      <c r="R137" s="43">
        <v>45677</v>
      </c>
      <c r="S137" s="2">
        <v>4</v>
      </c>
      <c r="T137" s="2" t="s">
        <v>519</v>
      </c>
      <c r="U137" s="2" t="s">
        <v>55</v>
      </c>
      <c r="V137" s="2" t="s">
        <v>56</v>
      </c>
      <c r="W137" s="2" t="s">
        <v>192</v>
      </c>
      <c r="X137" s="23">
        <v>4</v>
      </c>
      <c r="Y137" s="23">
        <v>1750</v>
      </c>
      <c r="Z137" s="23">
        <v>4899</v>
      </c>
      <c r="AA137" s="24">
        <v>0.35721575831802399</v>
      </c>
      <c r="AB137" s="14" t="str">
        <f>VLOOKUP(flu_aw24[[#This Row],[trust_code]],trust_lookup[],3,0)</f>
        <v>ChelWest</v>
      </c>
      <c r="AD137" s="43">
        <v>46020</v>
      </c>
      <c r="AE137" s="2">
        <v>1</v>
      </c>
      <c r="AF137" s="2" t="s">
        <v>518</v>
      </c>
      <c r="AG137" s="2" t="s">
        <v>152</v>
      </c>
      <c r="AH137" s="2" t="s">
        <v>153</v>
      </c>
      <c r="AI137" s="2" t="s">
        <v>193</v>
      </c>
      <c r="AJ137" s="23">
        <v>7</v>
      </c>
      <c r="AK137" s="23">
        <v>1134</v>
      </c>
      <c r="AL137" s="23">
        <v>3051</v>
      </c>
      <c r="AM137" s="24">
        <v>0.37168141592920301</v>
      </c>
      <c r="AN137" s="44" t="str">
        <f>VLOOKUP(flu_aw25[[#This Row],[trust_code]],trust_lookup[],3,0)</f>
        <v>Oxleas</v>
      </c>
      <c r="AP137" s="2" t="s">
        <v>179</v>
      </c>
      <c r="AQ137" s="2" t="s">
        <v>180</v>
      </c>
      <c r="AR137" s="2" t="s">
        <v>194</v>
      </c>
      <c r="AS137" s="2" t="s">
        <v>523</v>
      </c>
      <c r="AT137" s="2">
        <v>1</v>
      </c>
      <c r="AU137" s="23" t="str">
        <f>VLOOKUP(flu_location[[#This Row],[trust_code]],trust_lookup[],3,0)</f>
        <v>Marsden</v>
      </c>
      <c r="AW137" s="2" t="s">
        <v>113</v>
      </c>
      <c r="AX137" s="2" t="s">
        <v>114</v>
      </c>
      <c r="AY137" s="2" t="s">
        <v>652</v>
      </c>
      <c r="AZ137" s="2">
        <v>537</v>
      </c>
      <c r="BA137" s="2">
        <v>228</v>
      </c>
      <c r="BB137" s="44" t="str">
        <f>VLOOKUP(age_group[[#This Row],[trust_code]],trust_lookup[],3,0)</f>
        <v>K&amp;R FT</v>
      </c>
    </row>
    <row r="138" spans="1:54" x14ac:dyDescent="0.35">
      <c r="A138" s="2" t="s">
        <v>518</v>
      </c>
      <c r="B138" s="2" t="s">
        <v>161</v>
      </c>
      <c r="C138" s="2" t="s">
        <v>162</v>
      </c>
      <c r="D138" s="2" t="s">
        <v>27</v>
      </c>
      <c r="E138" s="2" t="s">
        <v>28</v>
      </c>
      <c r="F138" s="2">
        <v>8</v>
      </c>
      <c r="G138" s="2">
        <v>5</v>
      </c>
      <c r="H138" s="14" t="str">
        <f>VLOOKUP(flu_group[[#This Row],[trust_code]],trust_lookup[],3,0)</f>
        <v>RNOH</v>
      </c>
      <c r="I138" s="14" t="str">
        <f>VLOOKUP(flu_group[[#This Row],[trust_code]],trust_lookup[],4,0)</f>
        <v>Specialist</v>
      </c>
      <c r="K138" s="2" t="s">
        <v>518</v>
      </c>
      <c r="L138" s="2" t="s">
        <v>30</v>
      </c>
      <c r="M138" s="2" t="s">
        <v>31</v>
      </c>
      <c r="N138" s="2" t="s">
        <v>190</v>
      </c>
      <c r="O138" s="2" t="s">
        <v>68</v>
      </c>
      <c r="P138" s="2">
        <v>752</v>
      </c>
      <c r="R138" s="43">
        <v>45684</v>
      </c>
      <c r="S138" s="2">
        <v>5</v>
      </c>
      <c r="T138" s="2" t="s">
        <v>519</v>
      </c>
      <c r="U138" s="2" t="s">
        <v>55</v>
      </c>
      <c r="V138" s="2" t="s">
        <v>56</v>
      </c>
      <c r="W138" s="2" t="s">
        <v>192</v>
      </c>
      <c r="X138" s="23">
        <v>7</v>
      </c>
      <c r="Y138" s="23">
        <v>1757</v>
      </c>
      <c r="Z138" s="23">
        <v>4899</v>
      </c>
      <c r="AA138" s="24">
        <v>0.35864462135129599</v>
      </c>
      <c r="AB138" s="14" t="str">
        <f>VLOOKUP(flu_aw24[[#This Row],[trust_code]],trust_lookup[],3,0)</f>
        <v>ChelWest</v>
      </c>
      <c r="AD138" s="43">
        <v>46027</v>
      </c>
      <c r="AE138" s="2">
        <v>2</v>
      </c>
      <c r="AF138" s="2" t="s">
        <v>518</v>
      </c>
      <c r="AG138" s="2" t="s">
        <v>152</v>
      </c>
      <c r="AH138" s="2" t="s">
        <v>153</v>
      </c>
      <c r="AI138" s="2" t="s">
        <v>193</v>
      </c>
      <c r="AJ138" s="23">
        <v>7</v>
      </c>
      <c r="AK138" s="23">
        <v>1141</v>
      </c>
      <c r="AL138" s="23">
        <v>3051</v>
      </c>
      <c r="AM138" s="24">
        <v>0.37397574565716102</v>
      </c>
      <c r="AN138" s="44" t="str">
        <f>VLOOKUP(flu_aw25[[#This Row],[trust_code]],trust_lookup[],3,0)</f>
        <v>Oxleas</v>
      </c>
      <c r="AP138" s="2" t="s">
        <v>179</v>
      </c>
      <c r="AQ138" s="2" t="s">
        <v>180</v>
      </c>
      <c r="AR138" s="2" t="s">
        <v>194</v>
      </c>
      <c r="AS138" s="2" t="s">
        <v>524</v>
      </c>
      <c r="AT138" s="2">
        <v>1</v>
      </c>
      <c r="AU138" s="23" t="str">
        <f>VLOOKUP(flu_location[[#This Row],[trust_code]],trust_lookup[],3,0)</f>
        <v>Marsden</v>
      </c>
      <c r="AW138" s="2" t="s">
        <v>113</v>
      </c>
      <c r="AX138" s="2" t="s">
        <v>114</v>
      </c>
      <c r="AY138" s="2" t="s">
        <v>653</v>
      </c>
      <c r="AZ138" s="2">
        <v>584</v>
      </c>
      <c r="BA138" s="2">
        <v>243</v>
      </c>
      <c r="BB138" s="44" t="str">
        <f>VLOOKUP(age_group[[#This Row],[trust_code]],trust_lookup[],3,0)</f>
        <v>K&amp;R FT</v>
      </c>
    </row>
    <row r="139" spans="1:54" x14ac:dyDescent="0.35">
      <c r="A139" s="2" t="s">
        <v>518</v>
      </c>
      <c r="B139" s="2" t="s">
        <v>142</v>
      </c>
      <c r="C139" s="2" t="s">
        <v>143</v>
      </c>
      <c r="D139" s="2" t="s">
        <v>190</v>
      </c>
      <c r="E139" s="2" t="s">
        <v>28</v>
      </c>
      <c r="F139" s="2">
        <v>16</v>
      </c>
      <c r="G139" s="2">
        <v>3</v>
      </c>
      <c r="H139" s="14" t="str">
        <f>VLOOKUP(flu_group[[#This Row],[trust_code]],trust_lookup[],3,0)</f>
        <v>NELFT</v>
      </c>
      <c r="I139" s="14" t="str">
        <f>VLOOKUP(flu_group[[#This Row],[trust_code]],trust_lookup[],4,0)</f>
        <v>Mental Health &amp; Community</v>
      </c>
      <c r="K139" s="2" t="s">
        <v>518</v>
      </c>
      <c r="L139" s="2" t="s">
        <v>30</v>
      </c>
      <c r="M139" s="2" t="s">
        <v>31</v>
      </c>
      <c r="N139" s="2" t="s">
        <v>190</v>
      </c>
      <c r="O139" s="2" t="s">
        <v>135</v>
      </c>
      <c r="P139" s="2">
        <v>23</v>
      </c>
      <c r="R139" s="43">
        <v>45691</v>
      </c>
      <c r="S139" s="2">
        <v>6</v>
      </c>
      <c r="T139" s="2" t="s">
        <v>519</v>
      </c>
      <c r="U139" s="2" t="s">
        <v>55</v>
      </c>
      <c r="V139" s="2" t="s">
        <v>56</v>
      </c>
      <c r="W139" s="2" t="s">
        <v>192</v>
      </c>
      <c r="X139" s="23">
        <v>1</v>
      </c>
      <c r="Y139" s="23">
        <v>1758</v>
      </c>
      <c r="Z139" s="23">
        <v>4899</v>
      </c>
      <c r="AA139" s="24">
        <v>0.35884874464176297</v>
      </c>
      <c r="AB139" s="14" t="str">
        <f>VLOOKUP(flu_aw24[[#This Row],[trust_code]],trust_lookup[],3,0)</f>
        <v>ChelWest</v>
      </c>
      <c r="AD139" s="43">
        <v>46034</v>
      </c>
      <c r="AE139" s="2">
        <v>3</v>
      </c>
      <c r="AF139" s="2" t="s">
        <v>518</v>
      </c>
      <c r="AG139" s="2" t="s">
        <v>152</v>
      </c>
      <c r="AH139" s="2" t="s">
        <v>153</v>
      </c>
      <c r="AI139" s="2" t="s">
        <v>193</v>
      </c>
      <c r="AJ139" s="23">
        <v>6</v>
      </c>
      <c r="AK139" s="23">
        <v>1147</v>
      </c>
      <c r="AL139" s="23">
        <v>3051</v>
      </c>
      <c r="AM139" s="24">
        <v>0.375942313995411</v>
      </c>
      <c r="AN139" s="44" t="str">
        <f>VLOOKUP(flu_aw25[[#This Row],[trust_code]],trust_lookup[],3,0)</f>
        <v>Oxleas</v>
      </c>
      <c r="AW139" s="2" t="s">
        <v>113</v>
      </c>
      <c r="AX139" s="2" t="s">
        <v>114</v>
      </c>
      <c r="AY139" s="2" t="s">
        <v>654</v>
      </c>
      <c r="AZ139" s="2">
        <v>427</v>
      </c>
      <c r="BA139" s="2">
        <v>198</v>
      </c>
      <c r="BB139" s="44" t="str">
        <f>VLOOKUP(age_group[[#This Row],[trust_code]],trust_lookup[],3,0)</f>
        <v>K&amp;R FT</v>
      </c>
    </row>
    <row r="140" spans="1:54" x14ac:dyDescent="0.35">
      <c r="A140" s="2" t="s">
        <v>518</v>
      </c>
      <c r="B140" s="2" t="s">
        <v>37</v>
      </c>
      <c r="C140" s="2" t="s">
        <v>38</v>
      </c>
      <c r="D140" s="2" t="s">
        <v>190</v>
      </c>
      <c r="E140" s="2" t="s">
        <v>28</v>
      </c>
      <c r="F140" s="2">
        <v>1462</v>
      </c>
      <c r="G140" s="2">
        <v>376</v>
      </c>
      <c r="H140" s="14" t="str">
        <f>VLOOKUP(flu_group[[#This Row],[trust_code]],trust_lookup[],3,0)</f>
        <v>Barts</v>
      </c>
      <c r="I140" s="14" t="str">
        <f>VLOOKUP(flu_group[[#This Row],[trust_code]],trust_lookup[],4,0)</f>
        <v>Acute</v>
      </c>
      <c r="K140" s="2" t="s">
        <v>518</v>
      </c>
      <c r="L140" s="2" t="s">
        <v>30</v>
      </c>
      <c r="M140" s="2" t="s">
        <v>31</v>
      </c>
      <c r="N140" s="2" t="s">
        <v>190</v>
      </c>
      <c r="O140" s="2" t="s">
        <v>54</v>
      </c>
      <c r="P140" s="2">
        <v>186</v>
      </c>
      <c r="R140" s="43">
        <v>45698</v>
      </c>
      <c r="S140" s="2">
        <v>7</v>
      </c>
      <c r="T140" s="2" t="s">
        <v>519</v>
      </c>
      <c r="U140" s="2" t="s">
        <v>55</v>
      </c>
      <c r="V140" s="2" t="s">
        <v>56</v>
      </c>
      <c r="W140" s="2" t="s">
        <v>192</v>
      </c>
      <c r="X140" s="23">
        <v>2</v>
      </c>
      <c r="Y140" s="23">
        <v>1760</v>
      </c>
      <c r="Z140" s="23">
        <v>4899</v>
      </c>
      <c r="AA140" s="24">
        <v>0.359256991222698</v>
      </c>
      <c r="AB140" s="14" t="str">
        <f>VLOOKUP(flu_aw24[[#This Row],[trust_code]],trust_lookup[],3,0)</f>
        <v>ChelWest</v>
      </c>
      <c r="AD140" s="43">
        <v>46041</v>
      </c>
      <c r="AE140" s="2">
        <v>4</v>
      </c>
      <c r="AF140" s="2" t="s">
        <v>518</v>
      </c>
      <c r="AG140" s="2" t="s">
        <v>152</v>
      </c>
      <c r="AH140" s="2" t="s">
        <v>153</v>
      </c>
      <c r="AI140" s="2" t="s">
        <v>193</v>
      </c>
      <c r="AJ140" s="23">
        <v>13</v>
      </c>
      <c r="AK140" s="23">
        <v>1160</v>
      </c>
      <c r="AL140" s="23">
        <v>3051</v>
      </c>
      <c r="AM140" s="24">
        <v>0.380203212061619</v>
      </c>
      <c r="AN140" s="44" t="str">
        <f>VLOOKUP(flu_aw25[[#This Row],[trust_code]],trust_lookup[],3,0)</f>
        <v>Oxleas</v>
      </c>
      <c r="AW140" s="2" t="s">
        <v>113</v>
      </c>
      <c r="AX140" s="2" t="s">
        <v>114</v>
      </c>
      <c r="AY140" s="2" t="s">
        <v>655</v>
      </c>
      <c r="AZ140" s="2">
        <v>422</v>
      </c>
      <c r="BA140" s="2">
        <v>161</v>
      </c>
      <c r="BB140" s="44" t="str">
        <f>VLOOKUP(age_group[[#This Row],[trust_code]],trust_lookup[],3,0)</f>
        <v>K&amp;R FT</v>
      </c>
    </row>
    <row r="141" spans="1:54" x14ac:dyDescent="0.35">
      <c r="A141" s="2" t="s">
        <v>518</v>
      </c>
      <c r="B141" s="2" t="s">
        <v>83</v>
      </c>
      <c r="C141" s="2" t="s">
        <v>84</v>
      </c>
      <c r="D141" s="2" t="s">
        <v>27</v>
      </c>
      <c r="E141" s="2" t="s">
        <v>28</v>
      </c>
      <c r="F141" s="2">
        <v>372</v>
      </c>
      <c r="G141" s="2">
        <v>128</v>
      </c>
      <c r="H141" s="14" t="str">
        <f>VLOOKUP(flu_group[[#This Row],[trust_code]],trust_lookup[],3,0)</f>
        <v>GOSH</v>
      </c>
      <c r="I141" s="14" t="str">
        <f>VLOOKUP(flu_group[[#This Row],[trust_code]],trust_lookup[],4,0)</f>
        <v>Specialist</v>
      </c>
      <c r="K141" s="2" t="s">
        <v>518</v>
      </c>
      <c r="L141" s="2" t="s">
        <v>30</v>
      </c>
      <c r="M141" s="2" t="s">
        <v>31</v>
      </c>
      <c r="N141" s="2" t="s">
        <v>190</v>
      </c>
      <c r="O141" s="2" t="s">
        <v>129</v>
      </c>
      <c r="P141" s="2">
        <v>14</v>
      </c>
      <c r="R141" s="43">
        <v>45705</v>
      </c>
      <c r="S141" s="2">
        <v>8</v>
      </c>
      <c r="T141" s="2" t="s">
        <v>519</v>
      </c>
      <c r="U141" s="2" t="s">
        <v>55</v>
      </c>
      <c r="V141" s="2" t="s">
        <v>56</v>
      </c>
      <c r="W141" s="2" t="s">
        <v>192</v>
      </c>
      <c r="X141" s="23">
        <v>2</v>
      </c>
      <c r="Y141" s="23">
        <v>1762</v>
      </c>
      <c r="Z141" s="23">
        <v>4899</v>
      </c>
      <c r="AA141" s="24">
        <v>0.35966523780363302</v>
      </c>
      <c r="AB141" s="14" t="str">
        <f>VLOOKUP(flu_aw24[[#This Row],[trust_code]],trust_lookup[],3,0)</f>
        <v>ChelWest</v>
      </c>
      <c r="AD141" s="43">
        <v>46048</v>
      </c>
      <c r="AE141" s="2">
        <v>5</v>
      </c>
      <c r="AF141" s="2" t="s">
        <v>518</v>
      </c>
      <c r="AG141" s="2" t="s">
        <v>152</v>
      </c>
      <c r="AH141" s="2" t="s">
        <v>153</v>
      </c>
      <c r="AI141" s="2" t="s">
        <v>193</v>
      </c>
      <c r="AJ141" s="23">
        <v>3</v>
      </c>
      <c r="AK141" s="23">
        <v>1163</v>
      </c>
      <c r="AL141" s="23">
        <v>3051</v>
      </c>
      <c r="AM141" s="24">
        <v>0.38118649623074402</v>
      </c>
      <c r="AN141" s="44" t="str">
        <f>VLOOKUP(flu_aw25[[#This Row],[trust_code]],trust_lookup[],3,0)</f>
        <v>Oxleas</v>
      </c>
      <c r="AW141" s="2" t="s">
        <v>113</v>
      </c>
      <c r="AX141" s="2" t="s">
        <v>114</v>
      </c>
      <c r="AY141" s="2" t="s">
        <v>656</v>
      </c>
      <c r="AZ141" s="2">
        <v>439</v>
      </c>
      <c r="BA141" s="2">
        <v>197</v>
      </c>
      <c r="BB141" s="44" t="str">
        <f>VLOOKUP(age_group[[#This Row],[trust_code]],trust_lookup[],3,0)</f>
        <v>K&amp;R FT</v>
      </c>
    </row>
    <row r="142" spans="1:54" x14ac:dyDescent="0.35">
      <c r="A142" s="2" t="s">
        <v>518</v>
      </c>
      <c r="B142" s="2" t="s">
        <v>179</v>
      </c>
      <c r="C142" s="2" t="s">
        <v>180</v>
      </c>
      <c r="D142" s="2" t="s">
        <v>194</v>
      </c>
      <c r="E142" s="2" t="s">
        <v>28</v>
      </c>
      <c r="F142" s="2">
        <v>205</v>
      </c>
      <c r="G142" s="2">
        <v>53</v>
      </c>
      <c r="H142" s="14" t="str">
        <f>VLOOKUP(flu_group[[#This Row],[trust_code]],trust_lookup[],3,0)</f>
        <v>Marsden</v>
      </c>
      <c r="I142" s="14" t="str">
        <f>VLOOKUP(flu_group[[#This Row],[trust_code]],trust_lookup[],4,0)</f>
        <v>Specialist</v>
      </c>
      <c r="K142" s="2" t="s">
        <v>518</v>
      </c>
      <c r="L142" s="2" t="s">
        <v>30</v>
      </c>
      <c r="M142" s="2" t="s">
        <v>31</v>
      </c>
      <c r="N142" s="2" t="s">
        <v>190</v>
      </c>
      <c r="O142" s="2" t="s">
        <v>47</v>
      </c>
      <c r="P142" s="2">
        <v>19</v>
      </c>
      <c r="R142" s="43">
        <v>45712</v>
      </c>
      <c r="S142" s="2">
        <v>9</v>
      </c>
      <c r="T142" s="2" t="s">
        <v>519</v>
      </c>
      <c r="U142" s="2" t="s">
        <v>55</v>
      </c>
      <c r="V142" s="2" t="s">
        <v>56</v>
      </c>
      <c r="W142" s="2" t="s">
        <v>192</v>
      </c>
      <c r="X142" s="23">
        <v>6</v>
      </c>
      <c r="Y142" s="23">
        <v>1768</v>
      </c>
      <c r="Z142" s="23">
        <v>4899</v>
      </c>
      <c r="AA142" s="24">
        <v>0.36088997754643798</v>
      </c>
      <c r="AB142" s="14" t="str">
        <f>VLOOKUP(flu_aw24[[#This Row],[trust_code]],trust_lookup[],3,0)</f>
        <v>ChelWest</v>
      </c>
      <c r="AD142" s="43">
        <v>46055</v>
      </c>
      <c r="AE142" s="2">
        <v>6</v>
      </c>
      <c r="AF142" s="2" t="s">
        <v>518</v>
      </c>
      <c r="AG142" s="2" t="s">
        <v>152</v>
      </c>
      <c r="AH142" s="2" t="s">
        <v>153</v>
      </c>
      <c r="AI142" s="2" t="s">
        <v>193</v>
      </c>
      <c r="AJ142" s="23">
        <v>3</v>
      </c>
      <c r="AK142" s="23">
        <v>1166</v>
      </c>
      <c r="AL142" s="23">
        <v>3051</v>
      </c>
      <c r="AM142" s="24">
        <v>0.38216978039986799</v>
      </c>
      <c r="AN142" s="44" t="str">
        <f>VLOOKUP(flu_aw25[[#This Row],[trust_code]],trust_lookup[],3,0)</f>
        <v>Oxleas</v>
      </c>
      <c r="AW142" s="2" t="s">
        <v>113</v>
      </c>
      <c r="AX142" s="2" t="s">
        <v>114</v>
      </c>
      <c r="AY142" s="2" t="s">
        <v>657</v>
      </c>
      <c r="AZ142" s="2">
        <v>355</v>
      </c>
      <c r="BA142" s="2">
        <v>191</v>
      </c>
      <c r="BB142" s="44" t="str">
        <f>VLOOKUP(age_group[[#This Row],[trust_code]],trust_lookup[],3,0)</f>
        <v>K&amp;R FT</v>
      </c>
    </row>
    <row r="143" spans="1:54" x14ac:dyDescent="0.35">
      <c r="A143" s="2" t="s">
        <v>518</v>
      </c>
      <c r="B143" s="2" t="s">
        <v>147</v>
      </c>
      <c r="C143" s="2" t="s">
        <v>148</v>
      </c>
      <c r="D143" s="2" t="s">
        <v>27</v>
      </c>
      <c r="E143" s="2" t="s">
        <v>28</v>
      </c>
      <c r="F143" s="2">
        <v>22</v>
      </c>
      <c r="G143" s="2">
        <v>4</v>
      </c>
      <c r="H143" s="14" t="str">
        <f>VLOOKUP(flu_group[[#This Row],[trust_code]],trust_lookup[],3,0)</f>
        <v>North London</v>
      </c>
      <c r="I143" s="14" t="str">
        <f>VLOOKUP(flu_group[[#This Row],[trust_code]],trust_lookup[],4,0)</f>
        <v>Mental Health</v>
      </c>
      <c r="K143" s="2" t="s">
        <v>518</v>
      </c>
      <c r="L143" s="2" t="s">
        <v>30</v>
      </c>
      <c r="M143" s="2" t="s">
        <v>31</v>
      </c>
      <c r="N143" s="2" t="s">
        <v>190</v>
      </c>
      <c r="O143" s="2" t="s">
        <v>94</v>
      </c>
      <c r="P143" s="2">
        <v>18</v>
      </c>
      <c r="R143" s="43">
        <v>45733</v>
      </c>
      <c r="S143" s="2">
        <v>12</v>
      </c>
      <c r="T143" s="2" t="s">
        <v>519</v>
      </c>
      <c r="U143" s="2" t="s">
        <v>55</v>
      </c>
      <c r="V143" s="2" t="s">
        <v>56</v>
      </c>
      <c r="W143" s="2" t="s">
        <v>192</v>
      </c>
      <c r="X143" s="23">
        <v>1</v>
      </c>
      <c r="Y143" s="23">
        <v>1769</v>
      </c>
      <c r="Z143" s="23">
        <v>4899</v>
      </c>
      <c r="AA143" s="24">
        <v>0.36109410083690502</v>
      </c>
      <c r="AB143" s="14" t="str">
        <f>VLOOKUP(flu_aw24[[#This Row],[trust_code]],trust_lookup[],3,0)</f>
        <v>ChelWest</v>
      </c>
      <c r="AD143" s="43">
        <v>46069</v>
      </c>
      <c r="AE143" s="2">
        <v>8</v>
      </c>
      <c r="AF143" s="2" t="s">
        <v>518</v>
      </c>
      <c r="AG143" s="2" t="s">
        <v>152</v>
      </c>
      <c r="AH143" s="2" t="s">
        <v>153</v>
      </c>
      <c r="AI143" s="2" t="s">
        <v>193</v>
      </c>
      <c r="AJ143" s="23">
        <v>1</v>
      </c>
      <c r="AK143" s="23">
        <v>1167</v>
      </c>
      <c r="AL143" s="23">
        <v>3051</v>
      </c>
      <c r="AM143" s="24">
        <v>0.38249754178957701</v>
      </c>
      <c r="AN143" s="44" t="str">
        <f>VLOOKUP(flu_aw25[[#This Row],[trust_code]],trust_lookup[],3,0)</f>
        <v>Oxleas</v>
      </c>
      <c r="AW143" s="2" t="s">
        <v>113</v>
      </c>
      <c r="AX143" s="2" t="s">
        <v>114</v>
      </c>
      <c r="AY143" s="2" t="s">
        <v>658</v>
      </c>
      <c r="AZ143" s="2">
        <v>294</v>
      </c>
      <c r="BA143" s="2">
        <v>169</v>
      </c>
      <c r="BB143" s="44" t="str">
        <f>VLOOKUP(age_group[[#This Row],[trust_code]],trust_lookup[],3,0)</f>
        <v>K&amp;R FT</v>
      </c>
    </row>
    <row r="144" spans="1:54" x14ac:dyDescent="0.35">
      <c r="A144" s="2" t="s">
        <v>518</v>
      </c>
      <c r="B144" s="2" t="s">
        <v>76</v>
      </c>
      <c r="C144" s="2" t="s">
        <v>77</v>
      </c>
      <c r="D144" s="2" t="s">
        <v>194</v>
      </c>
      <c r="E144" s="2" t="s">
        <v>28</v>
      </c>
      <c r="F144" s="2">
        <v>372</v>
      </c>
      <c r="G144" s="2">
        <v>154</v>
      </c>
      <c r="H144" s="14" t="str">
        <f>VLOOKUP(flu_group[[#This Row],[trust_code]],trust_lookup[],3,0)</f>
        <v>Epsom</v>
      </c>
      <c r="I144" s="14" t="str">
        <f>VLOOKUP(flu_group[[#This Row],[trust_code]],trust_lookup[],4,0)</f>
        <v>Acute</v>
      </c>
      <c r="K144" s="2" t="s">
        <v>518</v>
      </c>
      <c r="L144" s="2" t="s">
        <v>30</v>
      </c>
      <c r="M144" s="2" t="s">
        <v>31</v>
      </c>
      <c r="N144" s="2" t="s">
        <v>190</v>
      </c>
      <c r="O144" s="2" t="s">
        <v>29</v>
      </c>
      <c r="P144" s="2">
        <v>37</v>
      </c>
      <c r="R144" s="43">
        <v>45551</v>
      </c>
      <c r="S144" s="2">
        <v>38</v>
      </c>
      <c r="T144" s="2" t="s">
        <v>519</v>
      </c>
      <c r="U144" s="2" t="s">
        <v>62</v>
      </c>
      <c r="V144" s="2" t="s">
        <v>63</v>
      </c>
      <c r="W144" s="2" t="s">
        <v>194</v>
      </c>
      <c r="X144" s="23">
        <v>2</v>
      </c>
      <c r="Y144" s="23">
        <v>2</v>
      </c>
      <c r="Z144" s="23">
        <v>3343</v>
      </c>
      <c r="AA144" s="24">
        <v>5.9826503140891405E-4</v>
      </c>
      <c r="AB144" s="14" t="str">
        <f>VLOOKUP(flu_aw24[[#This Row],[trust_code]],trust_lookup[],3,0)</f>
        <v>Croydon</v>
      </c>
      <c r="AD144" s="43">
        <v>46076</v>
      </c>
      <c r="AE144" s="2">
        <v>9</v>
      </c>
      <c r="AF144" s="2" t="s">
        <v>518</v>
      </c>
      <c r="AG144" s="2" t="s">
        <v>152</v>
      </c>
      <c r="AH144" s="2" t="s">
        <v>153</v>
      </c>
      <c r="AI144" s="2" t="s">
        <v>193</v>
      </c>
      <c r="AJ144" s="23">
        <v>2</v>
      </c>
      <c r="AK144" s="23">
        <v>1169</v>
      </c>
      <c r="AL144" s="23">
        <v>3051</v>
      </c>
      <c r="AM144" s="24">
        <v>0.38315306456899301</v>
      </c>
      <c r="AN144" s="44" t="str">
        <f>VLOOKUP(flu_aw25[[#This Row],[trust_code]],trust_lookup[],3,0)</f>
        <v>Oxleas</v>
      </c>
      <c r="AW144" s="2" t="s">
        <v>113</v>
      </c>
      <c r="AX144" s="2" t="s">
        <v>114</v>
      </c>
      <c r="AY144" s="2" t="s">
        <v>659</v>
      </c>
      <c r="AZ144" s="2">
        <v>188</v>
      </c>
      <c r="BA144" s="2">
        <v>127</v>
      </c>
      <c r="BB144" s="44" t="str">
        <f>VLOOKUP(age_group[[#This Row],[trust_code]],trust_lookup[],3,0)</f>
        <v>K&amp;R FT</v>
      </c>
    </row>
    <row r="145" spans="1:54" x14ac:dyDescent="0.35">
      <c r="A145" s="2" t="s">
        <v>518</v>
      </c>
      <c r="B145" s="2" t="s">
        <v>182</v>
      </c>
      <c r="C145" s="2" t="s">
        <v>183</v>
      </c>
      <c r="D145" s="2" t="s">
        <v>27</v>
      </c>
      <c r="E145" s="2" t="s">
        <v>28</v>
      </c>
      <c r="F145" s="2">
        <v>143</v>
      </c>
      <c r="G145" s="2">
        <v>40</v>
      </c>
      <c r="H145" s="14" t="str">
        <f>VLOOKUP(flu_group[[#This Row],[trust_code]],trust_lookup[],3,0)</f>
        <v>UCLH</v>
      </c>
      <c r="I145" s="14" t="str">
        <f>VLOOKUP(flu_group[[#This Row],[trust_code]],trust_lookup[],4,0)</f>
        <v>Acute</v>
      </c>
      <c r="K145" s="2" t="s">
        <v>518</v>
      </c>
      <c r="L145" s="2" t="s">
        <v>30</v>
      </c>
      <c r="M145" s="2" t="s">
        <v>31</v>
      </c>
      <c r="N145" s="2" t="s">
        <v>190</v>
      </c>
      <c r="O145" s="2" t="s">
        <v>123</v>
      </c>
      <c r="P145" s="2">
        <v>312</v>
      </c>
      <c r="R145" s="43">
        <v>45558</v>
      </c>
      <c r="S145" s="2">
        <v>39</v>
      </c>
      <c r="T145" s="2" t="s">
        <v>519</v>
      </c>
      <c r="U145" s="2" t="s">
        <v>62</v>
      </c>
      <c r="V145" s="2" t="s">
        <v>63</v>
      </c>
      <c r="W145" s="2" t="s">
        <v>194</v>
      </c>
      <c r="X145" s="23">
        <v>1</v>
      </c>
      <c r="Y145" s="23">
        <v>3</v>
      </c>
      <c r="Z145" s="23">
        <v>3343</v>
      </c>
      <c r="AA145" s="24">
        <v>8.9739754711337097E-4</v>
      </c>
      <c r="AB145" s="14" t="str">
        <f>VLOOKUP(flu_aw24[[#This Row],[trust_code]],trust_lookup[],3,0)</f>
        <v>Croydon</v>
      </c>
      <c r="AD145" s="43">
        <v>45929</v>
      </c>
      <c r="AE145" s="2">
        <v>40</v>
      </c>
      <c r="AF145" s="2" t="s">
        <v>518</v>
      </c>
      <c r="AG145" s="2" t="s">
        <v>179</v>
      </c>
      <c r="AH145" s="2" t="s">
        <v>180</v>
      </c>
      <c r="AI145" s="2" t="s">
        <v>194</v>
      </c>
      <c r="AJ145" s="23">
        <v>52</v>
      </c>
      <c r="AK145" s="23">
        <v>52</v>
      </c>
      <c r="AL145" s="23">
        <v>3394</v>
      </c>
      <c r="AM145" s="24">
        <v>1.53211549793753E-2</v>
      </c>
      <c r="AN145" s="44" t="str">
        <f>VLOOKUP(flu_aw25[[#This Row],[trust_code]],trust_lookup[],3,0)</f>
        <v>Marsden</v>
      </c>
      <c r="AW145" s="2" t="s">
        <v>118</v>
      </c>
      <c r="AX145" s="2" t="s">
        <v>119</v>
      </c>
      <c r="AY145" s="2" t="s">
        <v>650</v>
      </c>
      <c r="AZ145" s="2">
        <v>289</v>
      </c>
      <c r="BA145" s="2">
        <v>85</v>
      </c>
      <c r="BB145" s="44" t="str">
        <f>VLOOKUP(age_group[[#This Row],[trust_code]],trust_lookup[],3,0)</f>
        <v>L&amp;G</v>
      </c>
    </row>
    <row r="146" spans="1:54" x14ac:dyDescent="0.35">
      <c r="A146" s="2" t="s">
        <v>518</v>
      </c>
      <c r="B146" s="2" t="s">
        <v>130</v>
      </c>
      <c r="C146" s="2" t="s">
        <v>131</v>
      </c>
      <c r="D146" s="2" t="s">
        <v>192</v>
      </c>
      <c r="E146" s="2" t="s">
        <v>28</v>
      </c>
      <c r="F146" s="2">
        <v>67</v>
      </c>
      <c r="G146" s="2">
        <v>20</v>
      </c>
      <c r="H146" s="14" t="str">
        <f>VLOOKUP(flu_group[[#This Row],[trust_code]],trust_lookup[],3,0)</f>
        <v>LNW</v>
      </c>
      <c r="I146" s="14" t="str">
        <f>VLOOKUP(flu_group[[#This Row],[trust_code]],trust_lookup[],4,0)</f>
        <v>Acute</v>
      </c>
      <c r="K146" s="2" t="s">
        <v>518</v>
      </c>
      <c r="L146" s="2" t="s">
        <v>30</v>
      </c>
      <c r="M146" s="2" t="s">
        <v>31</v>
      </c>
      <c r="N146" s="2" t="s">
        <v>190</v>
      </c>
      <c r="O146" s="2" t="s">
        <v>82</v>
      </c>
      <c r="P146" s="2">
        <v>96</v>
      </c>
      <c r="R146" s="43">
        <v>45565</v>
      </c>
      <c r="S146" s="2">
        <v>40</v>
      </c>
      <c r="T146" s="2" t="s">
        <v>519</v>
      </c>
      <c r="U146" s="2" t="s">
        <v>62</v>
      </c>
      <c r="V146" s="2" t="s">
        <v>63</v>
      </c>
      <c r="W146" s="2" t="s">
        <v>194</v>
      </c>
      <c r="X146" s="23">
        <v>102</v>
      </c>
      <c r="Y146" s="23">
        <v>105</v>
      </c>
      <c r="Z146" s="23">
        <v>3343</v>
      </c>
      <c r="AA146" s="24">
        <v>3.1408914148967897E-2</v>
      </c>
      <c r="AB146" s="14" t="str">
        <f>VLOOKUP(flu_aw24[[#This Row],[trust_code]],trust_lookup[],3,0)</f>
        <v>Croydon</v>
      </c>
      <c r="AD146" s="43">
        <v>45936</v>
      </c>
      <c r="AE146" s="2">
        <v>41</v>
      </c>
      <c r="AF146" s="2" t="s">
        <v>518</v>
      </c>
      <c r="AG146" s="2" t="s">
        <v>179</v>
      </c>
      <c r="AH146" s="2" t="s">
        <v>180</v>
      </c>
      <c r="AI146" s="2" t="s">
        <v>194</v>
      </c>
      <c r="AJ146" s="23">
        <v>436</v>
      </c>
      <c r="AK146" s="23">
        <v>488</v>
      </c>
      <c r="AL146" s="23">
        <v>3394</v>
      </c>
      <c r="AM146" s="24">
        <v>0.143783146729522</v>
      </c>
      <c r="AN146" s="44" t="str">
        <f>VLOOKUP(flu_aw25[[#This Row],[trust_code]],trust_lookup[],3,0)</f>
        <v>Marsden</v>
      </c>
      <c r="AW146" s="2" t="s">
        <v>118</v>
      </c>
      <c r="AX146" s="2" t="s">
        <v>119</v>
      </c>
      <c r="AY146" s="2" t="s">
        <v>651</v>
      </c>
      <c r="AZ146" s="2">
        <v>771</v>
      </c>
      <c r="BA146" s="2">
        <v>253</v>
      </c>
      <c r="BB146" s="44" t="str">
        <f>VLOOKUP(age_group[[#This Row],[trust_code]],trust_lookup[],3,0)</f>
        <v>L&amp;G</v>
      </c>
    </row>
    <row r="147" spans="1:54" x14ac:dyDescent="0.35">
      <c r="A147" s="2" t="s">
        <v>518</v>
      </c>
      <c r="B147" s="2" t="s">
        <v>25</v>
      </c>
      <c r="C147" s="2" t="s">
        <v>26</v>
      </c>
      <c r="D147" s="2" t="s">
        <v>192</v>
      </c>
      <c r="E147" s="2" t="s">
        <v>28</v>
      </c>
      <c r="F147" s="2">
        <v>14</v>
      </c>
      <c r="G147" s="2">
        <v>8</v>
      </c>
      <c r="H147" s="14" t="str">
        <f>VLOOKUP(flu_group[[#This Row],[trust_code]],trust_lookup[],3,0)</f>
        <v>CNWL</v>
      </c>
      <c r="I147" s="14" t="str">
        <f>VLOOKUP(flu_group[[#This Row],[trust_code]],trust_lookup[],4,0)</f>
        <v>Mental Health &amp; Community</v>
      </c>
      <c r="K147" s="2" t="s">
        <v>518</v>
      </c>
      <c r="L147" s="2" t="s">
        <v>30</v>
      </c>
      <c r="M147" s="2" t="s">
        <v>31</v>
      </c>
      <c r="N147" s="2" t="s">
        <v>190</v>
      </c>
      <c r="O147" s="2" t="s">
        <v>88</v>
      </c>
      <c r="P147" s="2">
        <v>73</v>
      </c>
      <c r="R147" s="43">
        <v>45572</v>
      </c>
      <c r="S147" s="2">
        <v>41</v>
      </c>
      <c r="T147" s="2" t="s">
        <v>519</v>
      </c>
      <c r="U147" s="2" t="s">
        <v>62</v>
      </c>
      <c r="V147" s="2" t="s">
        <v>63</v>
      </c>
      <c r="W147" s="2" t="s">
        <v>194</v>
      </c>
      <c r="X147" s="23">
        <v>159</v>
      </c>
      <c r="Y147" s="23">
        <v>264</v>
      </c>
      <c r="Z147" s="23">
        <v>3343</v>
      </c>
      <c r="AA147" s="24">
        <v>7.89709841459766E-2</v>
      </c>
      <c r="AB147" s="14" t="str">
        <f>VLOOKUP(flu_aw24[[#This Row],[trust_code]],trust_lookup[],3,0)</f>
        <v>Croydon</v>
      </c>
      <c r="AD147" s="43">
        <v>45943</v>
      </c>
      <c r="AE147" s="2">
        <v>42</v>
      </c>
      <c r="AF147" s="2" t="s">
        <v>518</v>
      </c>
      <c r="AG147" s="2" t="s">
        <v>179</v>
      </c>
      <c r="AH147" s="2" t="s">
        <v>180</v>
      </c>
      <c r="AI147" s="2" t="s">
        <v>194</v>
      </c>
      <c r="AJ147" s="23">
        <v>256</v>
      </c>
      <c r="AK147" s="23">
        <v>744</v>
      </c>
      <c r="AL147" s="23">
        <v>3394</v>
      </c>
      <c r="AM147" s="24">
        <v>0.21921037124337001</v>
      </c>
      <c r="AN147" s="44" t="str">
        <f>VLOOKUP(flu_aw25[[#This Row],[trust_code]],trust_lookup[],3,0)</f>
        <v>Marsden</v>
      </c>
      <c r="AW147" s="2" t="s">
        <v>118</v>
      </c>
      <c r="AX147" s="2" t="s">
        <v>119</v>
      </c>
      <c r="AY147" s="2" t="s">
        <v>652</v>
      </c>
      <c r="AZ147" s="2">
        <v>916</v>
      </c>
      <c r="BA147" s="2">
        <v>306</v>
      </c>
      <c r="BB147" s="44" t="str">
        <f>VLOOKUP(age_group[[#This Row],[trust_code]],trust_lookup[],3,0)</f>
        <v>L&amp;G</v>
      </c>
    </row>
    <row r="148" spans="1:54" x14ac:dyDescent="0.35">
      <c r="A148" s="2" t="s">
        <v>518</v>
      </c>
      <c r="B148" s="2" t="s">
        <v>170</v>
      </c>
      <c r="C148" s="2" t="s">
        <v>171</v>
      </c>
      <c r="D148" s="2" t="s">
        <v>194</v>
      </c>
      <c r="E148" s="2" t="s">
        <v>28</v>
      </c>
      <c r="F148" s="2">
        <v>233</v>
      </c>
      <c r="G148" s="2">
        <v>80</v>
      </c>
      <c r="H148" s="14" t="str">
        <f>VLOOKUP(flu_group[[#This Row],[trust_code]],trust_lookup[],3,0)</f>
        <v>St George's</v>
      </c>
      <c r="I148" s="14" t="str">
        <f>VLOOKUP(flu_group[[#This Row],[trust_code]],trust_lookup[],4,0)</f>
        <v>Acute</v>
      </c>
      <c r="K148" s="2" t="s">
        <v>518</v>
      </c>
      <c r="L148" s="2" t="s">
        <v>30</v>
      </c>
      <c r="M148" s="2" t="s">
        <v>31</v>
      </c>
      <c r="N148" s="2" t="s">
        <v>190</v>
      </c>
      <c r="O148" s="2" t="s">
        <v>141</v>
      </c>
      <c r="P148" s="2">
        <v>307</v>
      </c>
      <c r="R148" s="43">
        <v>45579</v>
      </c>
      <c r="S148" s="2">
        <v>42</v>
      </c>
      <c r="T148" s="2" t="s">
        <v>519</v>
      </c>
      <c r="U148" s="2" t="s">
        <v>62</v>
      </c>
      <c r="V148" s="2" t="s">
        <v>63</v>
      </c>
      <c r="W148" s="2" t="s">
        <v>194</v>
      </c>
      <c r="X148" s="23">
        <v>162</v>
      </c>
      <c r="Y148" s="23">
        <v>426</v>
      </c>
      <c r="Z148" s="23">
        <v>3343</v>
      </c>
      <c r="AA148" s="24">
        <v>0.12743045169009801</v>
      </c>
      <c r="AB148" s="14" t="str">
        <f>VLOOKUP(flu_aw24[[#This Row],[trust_code]],trust_lookup[],3,0)</f>
        <v>Croydon</v>
      </c>
      <c r="AD148" s="43">
        <v>45950</v>
      </c>
      <c r="AE148" s="2">
        <v>43</v>
      </c>
      <c r="AF148" s="2" t="s">
        <v>518</v>
      </c>
      <c r="AG148" s="2" t="s">
        <v>179</v>
      </c>
      <c r="AH148" s="2" t="s">
        <v>180</v>
      </c>
      <c r="AI148" s="2" t="s">
        <v>194</v>
      </c>
      <c r="AJ148" s="23">
        <v>159</v>
      </c>
      <c r="AK148" s="23">
        <v>903</v>
      </c>
      <c r="AL148" s="23">
        <v>3394</v>
      </c>
      <c r="AM148" s="24">
        <v>0.26605774896876799</v>
      </c>
      <c r="AN148" s="44" t="str">
        <f>VLOOKUP(flu_aw25[[#This Row],[trust_code]],trust_lookup[],3,0)</f>
        <v>Marsden</v>
      </c>
      <c r="AW148" s="2" t="s">
        <v>118</v>
      </c>
      <c r="AX148" s="2" t="s">
        <v>119</v>
      </c>
      <c r="AY148" s="2" t="s">
        <v>653</v>
      </c>
      <c r="AZ148" s="2">
        <v>957</v>
      </c>
      <c r="BA148" s="2">
        <v>335</v>
      </c>
      <c r="BB148" s="44" t="str">
        <f>VLOOKUP(age_group[[#This Row],[trust_code]],trust_lookup[],3,0)</f>
        <v>L&amp;G</v>
      </c>
    </row>
    <row r="149" spans="1:54" x14ac:dyDescent="0.35">
      <c r="A149" s="2" t="s">
        <v>518</v>
      </c>
      <c r="B149" s="2" t="s">
        <v>107</v>
      </c>
      <c r="C149" s="2" t="s">
        <v>108</v>
      </c>
      <c r="D149" s="2" t="s">
        <v>193</v>
      </c>
      <c r="E149" s="2" t="s">
        <v>28</v>
      </c>
      <c r="F149" s="2">
        <v>49</v>
      </c>
      <c r="G149" s="2">
        <v>19</v>
      </c>
      <c r="H149" s="14" t="str">
        <f>VLOOKUP(flu_group[[#This Row],[trust_code]],trust_lookup[],3,0)</f>
        <v>King's</v>
      </c>
      <c r="I149" s="14" t="str">
        <f>VLOOKUP(flu_group[[#This Row],[trust_code]],trust_lookup[],4,0)</f>
        <v>Acute</v>
      </c>
      <c r="K149" s="2" t="s">
        <v>518</v>
      </c>
      <c r="L149" s="2" t="s">
        <v>30</v>
      </c>
      <c r="M149" s="2" t="s">
        <v>31</v>
      </c>
      <c r="N149" s="2" t="s">
        <v>190</v>
      </c>
      <c r="O149" s="2" t="s">
        <v>61</v>
      </c>
      <c r="P149" s="2">
        <v>48</v>
      </c>
      <c r="R149" s="43">
        <v>45586</v>
      </c>
      <c r="S149" s="2">
        <v>43</v>
      </c>
      <c r="T149" s="2" t="s">
        <v>519</v>
      </c>
      <c r="U149" s="2" t="s">
        <v>62</v>
      </c>
      <c r="V149" s="2" t="s">
        <v>63</v>
      </c>
      <c r="W149" s="2" t="s">
        <v>194</v>
      </c>
      <c r="X149" s="23">
        <v>120</v>
      </c>
      <c r="Y149" s="23">
        <v>546</v>
      </c>
      <c r="Z149" s="23">
        <v>3343</v>
      </c>
      <c r="AA149" s="24">
        <v>0.16332635357463299</v>
      </c>
      <c r="AB149" s="14" t="str">
        <f>VLOOKUP(flu_aw24[[#This Row],[trust_code]],trust_lookup[],3,0)</f>
        <v>Croydon</v>
      </c>
      <c r="AD149" s="43">
        <v>45957</v>
      </c>
      <c r="AE149" s="2">
        <v>44</v>
      </c>
      <c r="AF149" s="2" t="s">
        <v>518</v>
      </c>
      <c r="AG149" s="2" t="s">
        <v>179</v>
      </c>
      <c r="AH149" s="2" t="s">
        <v>180</v>
      </c>
      <c r="AI149" s="2" t="s">
        <v>194</v>
      </c>
      <c r="AJ149" s="23">
        <v>141</v>
      </c>
      <c r="AK149" s="23">
        <v>1044</v>
      </c>
      <c r="AL149" s="23">
        <v>3394</v>
      </c>
      <c r="AM149" s="24">
        <v>0.30760164997053602</v>
      </c>
      <c r="AN149" s="44" t="str">
        <f>VLOOKUP(flu_aw25[[#This Row],[trust_code]],trust_lookup[],3,0)</f>
        <v>Marsden</v>
      </c>
      <c r="AW149" s="2" t="s">
        <v>118</v>
      </c>
      <c r="AX149" s="2" t="s">
        <v>119</v>
      </c>
      <c r="AY149" s="2" t="s">
        <v>654</v>
      </c>
      <c r="AZ149" s="2">
        <v>785</v>
      </c>
      <c r="BA149" s="2">
        <v>238</v>
      </c>
      <c r="BB149" s="44" t="str">
        <f>VLOOKUP(age_group[[#This Row],[trust_code]],trust_lookup[],3,0)</f>
        <v>L&amp;G</v>
      </c>
    </row>
    <row r="150" spans="1:54" x14ac:dyDescent="0.35">
      <c r="A150" s="2" t="s">
        <v>518</v>
      </c>
      <c r="B150" s="2" t="s">
        <v>167</v>
      </c>
      <c r="C150" s="2" t="s">
        <v>168</v>
      </c>
      <c r="D150" s="2" t="s">
        <v>194</v>
      </c>
      <c r="E150" s="2" t="s">
        <v>28</v>
      </c>
      <c r="F150" s="2">
        <v>27</v>
      </c>
      <c r="G150" s="2">
        <v>6</v>
      </c>
      <c r="H150" s="14" t="str">
        <f>VLOOKUP(flu_group[[#This Row],[trust_code]],trust_lookup[],3,0)</f>
        <v>SWL&amp;StG</v>
      </c>
      <c r="I150" s="14" t="str">
        <f>VLOOKUP(flu_group[[#This Row],[trust_code]],trust_lookup[],4,0)</f>
        <v>Mental Health</v>
      </c>
      <c r="K150" s="2" t="s">
        <v>518</v>
      </c>
      <c r="L150" s="2" t="s">
        <v>30</v>
      </c>
      <c r="M150" s="2" t="s">
        <v>31</v>
      </c>
      <c r="N150" s="2" t="s">
        <v>190</v>
      </c>
      <c r="O150" s="2" t="s">
        <v>100</v>
      </c>
      <c r="P150" s="2">
        <v>379</v>
      </c>
      <c r="R150" s="43">
        <v>45593</v>
      </c>
      <c r="S150" s="2">
        <v>44</v>
      </c>
      <c r="T150" s="2" t="s">
        <v>519</v>
      </c>
      <c r="U150" s="2" t="s">
        <v>62</v>
      </c>
      <c r="V150" s="2" t="s">
        <v>63</v>
      </c>
      <c r="W150" s="2" t="s">
        <v>194</v>
      </c>
      <c r="X150" s="23">
        <v>119</v>
      </c>
      <c r="Y150" s="23">
        <v>665</v>
      </c>
      <c r="Z150" s="23">
        <v>3343</v>
      </c>
      <c r="AA150" s="24">
        <v>0.19892312294346301</v>
      </c>
      <c r="AB150" s="14" t="str">
        <f>VLOOKUP(flu_aw24[[#This Row],[trust_code]],trust_lookup[],3,0)</f>
        <v>Croydon</v>
      </c>
      <c r="AD150" s="43">
        <v>45964</v>
      </c>
      <c r="AE150" s="2">
        <v>45</v>
      </c>
      <c r="AF150" s="2" t="s">
        <v>518</v>
      </c>
      <c r="AG150" s="2" t="s">
        <v>179</v>
      </c>
      <c r="AH150" s="2" t="s">
        <v>180</v>
      </c>
      <c r="AI150" s="2" t="s">
        <v>194</v>
      </c>
      <c r="AJ150" s="23">
        <v>144</v>
      </c>
      <c r="AK150" s="23">
        <v>1188</v>
      </c>
      <c r="AL150" s="23">
        <v>3394</v>
      </c>
      <c r="AM150" s="24">
        <v>0.350029463759575</v>
      </c>
      <c r="AN150" s="44" t="str">
        <f>VLOOKUP(flu_aw25[[#This Row],[trust_code]],trust_lookup[],3,0)</f>
        <v>Marsden</v>
      </c>
      <c r="AW150" s="2" t="s">
        <v>118</v>
      </c>
      <c r="AX150" s="2" t="s">
        <v>119</v>
      </c>
      <c r="AY150" s="2" t="s">
        <v>655</v>
      </c>
      <c r="AZ150" s="2">
        <v>819</v>
      </c>
      <c r="BA150" s="2">
        <v>258</v>
      </c>
      <c r="BB150" s="44" t="str">
        <f>VLOOKUP(age_group[[#This Row],[trust_code]],trust_lookup[],3,0)</f>
        <v>L&amp;G</v>
      </c>
    </row>
    <row r="151" spans="1:54" x14ac:dyDescent="0.35">
      <c r="A151" s="2" t="s">
        <v>518</v>
      </c>
      <c r="B151" s="2" t="s">
        <v>55</v>
      </c>
      <c r="C151" s="2" t="s">
        <v>56</v>
      </c>
      <c r="D151" s="2" t="s">
        <v>192</v>
      </c>
      <c r="E151" s="2" t="s">
        <v>28</v>
      </c>
      <c r="F151" s="2">
        <v>1</v>
      </c>
      <c r="G151" s="2">
        <v>1</v>
      </c>
      <c r="H151" s="14" t="str">
        <f>VLOOKUP(flu_group[[#This Row],[trust_code]],trust_lookup[],3,0)</f>
        <v>ChelWest</v>
      </c>
      <c r="I151" s="14" t="str">
        <f>VLOOKUP(flu_group[[#This Row],[trust_code]],trust_lookup[],4,0)</f>
        <v>Acute</v>
      </c>
      <c r="K151" s="2" t="s">
        <v>518</v>
      </c>
      <c r="L151" s="2" t="s">
        <v>30</v>
      </c>
      <c r="M151" s="2" t="s">
        <v>31</v>
      </c>
      <c r="N151" s="2" t="s">
        <v>190</v>
      </c>
      <c r="O151" s="2" t="s">
        <v>75</v>
      </c>
      <c r="P151" s="2">
        <v>70</v>
      </c>
      <c r="R151" s="43">
        <v>45600</v>
      </c>
      <c r="S151" s="2">
        <v>45</v>
      </c>
      <c r="T151" s="2" t="s">
        <v>519</v>
      </c>
      <c r="U151" s="2" t="s">
        <v>62</v>
      </c>
      <c r="V151" s="2" t="s">
        <v>63</v>
      </c>
      <c r="W151" s="2" t="s">
        <v>194</v>
      </c>
      <c r="X151" s="23">
        <v>93</v>
      </c>
      <c r="Y151" s="23">
        <v>758</v>
      </c>
      <c r="Z151" s="23">
        <v>3343</v>
      </c>
      <c r="AA151" s="24">
        <v>0.22674244690397799</v>
      </c>
      <c r="AB151" s="14" t="str">
        <f>VLOOKUP(flu_aw24[[#This Row],[trust_code]],trust_lookup[],3,0)</f>
        <v>Croydon</v>
      </c>
      <c r="AD151" s="43">
        <v>45971</v>
      </c>
      <c r="AE151" s="2">
        <v>46</v>
      </c>
      <c r="AF151" s="2" t="s">
        <v>518</v>
      </c>
      <c r="AG151" s="2" t="s">
        <v>179</v>
      </c>
      <c r="AH151" s="2" t="s">
        <v>180</v>
      </c>
      <c r="AI151" s="2" t="s">
        <v>194</v>
      </c>
      <c r="AJ151" s="23">
        <v>62</v>
      </c>
      <c r="AK151" s="23">
        <v>1250</v>
      </c>
      <c r="AL151" s="23">
        <v>3394</v>
      </c>
      <c r="AM151" s="24">
        <v>0.36829699469652299</v>
      </c>
      <c r="AN151" s="44" t="str">
        <f>VLOOKUP(flu_aw25[[#This Row],[trust_code]],trust_lookup[],3,0)</f>
        <v>Marsden</v>
      </c>
      <c r="AW151" s="2" t="s">
        <v>118</v>
      </c>
      <c r="AX151" s="2" t="s">
        <v>119</v>
      </c>
      <c r="AY151" s="2" t="s">
        <v>656</v>
      </c>
      <c r="AZ151" s="2">
        <v>691</v>
      </c>
      <c r="BA151" s="2">
        <v>258</v>
      </c>
      <c r="BB151" s="44" t="str">
        <f>VLOOKUP(age_group[[#This Row],[trust_code]],trust_lookup[],3,0)</f>
        <v>L&amp;G</v>
      </c>
    </row>
    <row r="152" spans="1:54" x14ac:dyDescent="0.35">
      <c r="A152" s="2" t="s">
        <v>518</v>
      </c>
      <c r="B152" s="2" t="s">
        <v>136</v>
      </c>
      <c r="C152" s="2" t="s">
        <v>137</v>
      </c>
      <c r="D152" s="2" t="s">
        <v>27</v>
      </c>
      <c r="E152" s="2" t="s">
        <v>28</v>
      </c>
      <c r="F152" s="2">
        <v>21</v>
      </c>
      <c r="G152" s="2">
        <v>7</v>
      </c>
      <c r="H152" s="14" t="str">
        <f>VLOOKUP(flu_group[[#This Row],[trust_code]],trust_lookup[],3,0)</f>
        <v>Moorfields</v>
      </c>
      <c r="I152" s="14" t="str">
        <f>VLOOKUP(flu_group[[#This Row],[trust_code]],trust_lookup[],4,0)</f>
        <v>Specialist</v>
      </c>
      <c r="K152" s="2" t="s">
        <v>518</v>
      </c>
      <c r="L152" s="2" t="s">
        <v>30</v>
      </c>
      <c r="M152" s="2" t="s">
        <v>31</v>
      </c>
      <c r="N152" s="2" t="s">
        <v>190</v>
      </c>
      <c r="O152" s="2" t="s">
        <v>106</v>
      </c>
      <c r="P152" s="2">
        <v>28</v>
      </c>
      <c r="R152" s="43">
        <v>45607</v>
      </c>
      <c r="S152" s="2">
        <v>46</v>
      </c>
      <c r="T152" s="2" t="s">
        <v>519</v>
      </c>
      <c r="U152" s="2" t="s">
        <v>62</v>
      </c>
      <c r="V152" s="2" t="s">
        <v>63</v>
      </c>
      <c r="W152" s="2" t="s">
        <v>194</v>
      </c>
      <c r="X152" s="23">
        <v>141</v>
      </c>
      <c r="Y152" s="23">
        <v>899</v>
      </c>
      <c r="Z152" s="23">
        <v>3343</v>
      </c>
      <c r="AA152" s="24">
        <v>0.26892013161830602</v>
      </c>
      <c r="AB152" s="14" t="str">
        <f>VLOOKUP(flu_aw24[[#This Row],[trust_code]],trust_lookup[],3,0)</f>
        <v>Croydon</v>
      </c>
      <c r="AD152" s="43">
        <v>45978</v>
      </c>
      <c r="AE152" s="2">
        <v>47</v>
      </c>
      <c r="AF152" s="2" t="s">
        <v>518</v>
      </c>
      <c r="AG152" s="2" t="s">
        <v>179</v>
      </c>
      <c r="AH152" s="2" t="s">
        <v>180</v>
      </c>
      <c r="AI152" s="2" t="s">
        <v>194</v>
      </c>
      <c r="AJ152" s="23">
        <v>44</v>
      </c>
      <c r="AK152" s="23">
        <v>1294</v>
      </c>
      <c r="AL152" s="23">
        <v>3394</v>
      </c>
      <c r="AM152" s="24">
        <v>0.38126104890983997</v>
      </c>
      <c r="AN152" s="44" t="str">
        <f>VLOOKUP(flu_aw25[[#This Row],[trust_code]],trust_lookup[],3,0)</f>
        <v>Marsden</v>
      </c>
      <c r="AW152" s="2" t="s">
        <v>118</v>
      </c>
      <c r="AX152" s="2" t="s">
        <v>119</v>
      </c>
      <c r="AY152" s="2" t="s">
        <v>657</v>
      </c>
      <c r="AZ152" s="2">
        <v>633</v>
      </c>
      <c r="BA152" s="2">
        <v>241</v>
      </c>
      <c r="BB152" s="44" t="str">
        <f>VLOOKUP(age_group[[#This Row],[trust_code]],trust_lookup[],3,0)</f>
        <v>L&amp;G</v>
      </c>
    </row>
    <row r="153" spans="1:54" x14ac:dyDescent="0.35">
      <c r="A153" s="2" t="s">
        <v>518</v>
      </c>
      <c r="B153" s="2" t="s">
        <v>185</v>
      </c>
      <c r="C153" s="2" t="s">
        <v>186</v>
      </c>
      <c r="D153" s="2" t="s">
        <v>27</v>
      </c>
      <c r="E153" s="2" t="s">
        <v>28</v>
      </c>
      <c r="F153" s="2">
        <v>46</v>
      </c>
      <c r="G153" s="2">
        <v>6</v>
      </c>
      <c r="H153" s="14" t="str">
        <f>VLOOKUP(flu_group[[#This Row],[trust_code]],trust_lookup[],3,0)</f>
        <v>Whittington</v>
      </c>
      <c r="I153" s="14" t="str">
        <f>VLOOKUP(flu_group[[#This Row],[trust_code]],trust_lookup[],4,0)</f>
        <v>Acute &amp; Community</v>
      </c>
      <c r="K153" s="2" t="s">
        <v>518</v>
      </c>
      <c r="L153" s="2" t="s">
        <v>30</v>
      </c>
      <c r="M153" s="2" t="s">
        <v>31</v>
      </c>
      <c r="N153" s="2" t="s">
        <v>190</v>
      </c>
      <c r="O153" s="2" t="s">
        <v>112</v>
      </c>
      <c r="P153" s="2">
        <v>227</v>
      </c>
      <c r="R153" s="43">
        <v>45614</v>
      </c>
      <c r="S153" s="2">
        <v>47</v>
      </c>
      <c r="T153" s="2" t="s">
        <v>519</v>
      </c>
      <c r="U153" s="2" t="s">
        <v>62</v>
      </c>
      <c r="V153" s="2" t="s">
        <v>63</v>
      </c>
      <c r="W153" s="2" t="s">
        <v>194</v>
      </c>
      <c r="X153" s="23">
        <v>70</v>
      </c>
      <c r="Y153" s="23">
        <v>969</v>
      </c>
      <c r="Z153" s="23">
        <v>3343</v>
      </c>
      <c r="AA153" s="24">
        <v>0.28985940771761798</v>
      </c>
      <c r="AB153" s="14" t="str">
        <f>VLOOKUP(flu_aw24[[#This Row],[trust_code]],trust_lookup[],3,0)</f>
        <v>Croydon</v>
      </c>
      <c r="AD153" s="43">
        <v>45985</v>
      </c>
      <c r="AE153" s="2">
        <v>48</v>
      </c>
      <c r="AF153" s="2" t="s">
        <v>518</v>
      </c>
      <c r="AG153" s="2" t="s">
        <v>179</v>
      </c>
      <c r="AH153" s="2" t="s">
        <v>180</v>
      </c>
      <c r="AI153" s="2" t="s">
        <v>194</v>
      </c>
      <c r="AJ153" s="23">
        <v>55</v>
      </c>
      <c r="AK153" s="23">
        <v>1349</v>
      </c>
      <c r="AL153" s="23">
        <v>3394</v>
      </c>
      <c r="AM153" s="24">
        <v>0.39746611667648701</v>
      </c>
      <c r="AN153" s="44" t="str">
        <f>VLOOKUP(flu_aw25[[#This Row],[trust_code]],trust_lookup[],3,0)</f>
        <v>Marsden</v>
      </c>
      <c r="AW153" s="2" t="s">
        <v>118</v>
      </c>
      <c r="AX153" s="2" t="s">
        <v>119</v>
      </c>
      <c r="AY153" s="2" t="s">
        <v>658</v>
      </c>
      <c r="AZ153" s="2">
        <v>451</v>
      </c>
      <c r="BA153" s="2">
        <v>193</v>
      </c>
      <c r="BB153" s="44" t="str">
        <f>VLOOKUP(age_group[[#This Row],[trust_code]],trust_lookup[],3,0)</f>
        <v>L&amp;G</v>
      </c>
    </row>
    <row r="154" spans="1:54" x14ac:dyDescent="0.35">
      <c r="A154" s="2" t="s">
        <v>518</v>
      </c>
      <c r="B154" s="2" t="s">
        <v>69</v>
      </c>
      <c r="C154" s="2" t="s">
        <v>70</v>
      </c>
      <c r="D154" s="2" t="s">
        <v>190</v>
      </c>
      <c r="E154" s="2" t="s">
        <v>28</v>
      </c>
      <c r="F154" s="2">
        <v>10</v>
      </c>
      <c r="G154" s="2">
        <v>3</v>
      </c>
      <c r="H154" s="14" t="str">
        <f>VLOOKUP(flu_group[[#This Row],[trust_code]],trust_lookup[],3,0)</f>
        <v>ELFT</v>
      </c>
      <c r="I154" s="14" t="str">
        <f>VLOOKUP(flu_group[[#This Row],[trust_code]],trust_lookup[],4,0)</f>
        <v>Mental Health &amp; Community</v>
      </c>
      <c r="K154" s="2" t="s">
        <v>518</v>
      </c>
      <c r="L154" s="2" t="s">
        <v>30</v>
      </c>
      <c r="M154" s="2" t="s">
        <v>31</v>
      </c>
      <c r="N154" s="2" t="s">
        <v>190</v>
      </c>
      <c r="O154" s="2" t="s">
        <v>36</v>
      </c>
      <c r="P154" s="2">
        <v>149</v>
      </c>
      <c r="R154" s="43">
        <v>45621</v>
      </c>
      <c r="S154" s="2">
        <v>48</v>
      </c>
      <c r="T154" s="2" t="s">
        <v>519</v>
      </c>
      <c r="U154" s="2" t="s">
        <v>62</v>
      </c>
      <c r="V154" s="2" t="s">
        <v>63</v>
      </c>
      <c r="W154" s="2" t="s">
        <v>194</v>
      </c>
      <c r="X154" s="23">
        <v>60</v>
      </c>
      <c r="Y154" s="23">
        <v>1029</v>
      </c>
      <c r="Z154" s="23">
        <v>3343</v>
      </c>
      <c r="AA154" s="24">
        <v>0.30780735865988601</v>
      </c>
      <c r="AB154" s="14" t="str">
        <f>VLOOKUP(flu_aw24[[#This Row],[trust_code]],trust_lookup[],3,0)</f>
        <v>Croydon</v>
      </c>
      <c r="AD154" s="43">
        <v>45992</v>
      </c>
      <c r="AE154" s="2">
        <v>49</v>
      </c>
      <c r="AF154" s="2" t="s">
        <v>518</v>
      </c>
      <c r="AG154" s="2" t="s">
        <v>179</v>
      </c>
      <c r="AH154" s="2" t="s">
        <v>180</v>
      </c>
      <c r="AI154" s="2" t="s">
        <v>194</v>
      </c>
      <c r="AJ154" s="23">
        <v>68</v>
      </c>
      <c r="AK154" s="23">
        <v>1417</v>
      </c>
      <c r="AL154" s="23">
        <v>3394</v>
      </c>
      <c r="AM154" s="24">
        <v>0.41750147318797798</v>
      </c>
      <c r="AN154" s="44" t="str">
        <f>VLOOKUP(flu_aw25[[#This Row],[trust_code]],trust_lookup[],3,0)</f>
        <v>Marsden</v>
      </c>
      <c r="AW154" s="2" t="s">
        <v>118</v>
      </c>
      <c r="AX154" s="2" t="s">
        <v>119</v>
      </c>
      <c r="AY154" s="2" t="s">
        <v>659</v>
      </c>
      <c r="AZ154" s="2">
        <v>281</v>
      </c>
      <c r="BA154" s="2">
        <v>147</v>
      </c>
      <c r="BB154" s="44" t="str">
        <f>VLOOKUP(age_group[[#This Row],[trust_code]],trust_lookup[],3,0)</f>
        <v>L&amp;G</v>
      </c>
    </row>
    <row r="155" spans="1:54" x14ac:dyDescent="0.35">
      <c r="A155" s="2" t="s">
        <v>518</v>
      </c>
      <c r="B155" s="2" t="s">
        <v>173</v>
      </c>
      <c r="C155" s="2" t="s">
        <v>174</v>
      </c>
      <c r="D155" s="2" t="s">
        <v>27</v>
      </c>
      <c r="E155" s="2" t="s">
        <v>28</v>
      </c>
      <c r="F155" s="2">
        <v>6</v>
      </c>
      <c r="G155" s="2">
        <v>1</v>
      </c>
      <c r="H155" s="14" t="str">
        <f>VLOOKUP(flu_group[[#This Row],[trust_code]],trust_lookup[],3,0)</f>
        <v>T&amp;P</v>
      </c>
      <c r="I155" s="14" t="str">
        <f>VLOOKUP(flu_group[[#This Row],[trust_code]],trust_lookup[],4,0)</f>
        <v>Mental Health</v>
      </c>
      <c r="K155" s="2" t="s">
        <v>518</v>
      </c>
      <c r="L155" s="2" t="s">
        <v>37</v>
      </c>
      <c r="M155" s="2" t="s">
        <v>38</v>
      </c>
      <c r="N155" s="2" t="s">
        <v>190</v>
      </c>
      <c r="O155" s="2" t="s">
        <v>68</v>
      </c>
      <c r="P155" s="2">
        <v>2265</v>
      </c>
      <c r="R155" s="43">
        <v>45628</v>
      </c>
      <c r="S155" s="2">
        <v>49</v>
      </c>
      <c r="T155" s="2" t="s">
        <v>519</v>
      </c>
      <c r="U155" s="2" t="s">
        <v>62</v>
      </c>
      <c r="V155" s="2" t="s">
        <v>63</v>
      </c>
      <c r="W155" s="2" t="s">
        <v>194</v>
      </c>
      <c r="X155" s="23">
        <v>67</v>
      </c>
      <c r="Y155" s="23">
        <v>1096</v>
      </c>
      <c r="Z155" s="23">
        <v>3343</v>
      </c>
      <c r="AA155" s="24">
        <v>0.32784923721208498</v>
      </c>
      <c r="AB155" s="14" t="str">
        <f>VLOOKUP(flu_aw24[[#This Row],[trust_code]],trust_lookup[],3,0)</f>
        <v>Croydon</v>
      </c>
      <c r="AD155" s="43">
        <v>45999</v>
      </c>
      <c r="AE155" s="2">
        <v>50</v>
      </c>
      <c r="AF155" s="2" t="s">
        <v>518</v>
      </c>
      <c r="AG155" s="2" t="s">
        <v>179</v>
      </c>
      <c r="AH155" s="2" t="s">
        <v>180</v>
      </c>
      <c r="AI155" s="2" t="s">
        <v>194</v>
      </c>
      <c r="AJ155" s="23">
        <v>64</v>
      </c>
      <c r="AK155" s="23">
        <v>1481</v>
      </c>
      <c r="AL155" s="23">
        <v>3394</v>
      </c>
      <c r="AM155" s="24">
        <v>0.43635827931644</v>
      </c>
      <c r="AN155" s="44" t="str">
        <f>VLOOKUP(flu_aw25[[#This Row],[trust_code]],trust_lookup[],3,0)</f>
        <v>Marsden</v>
      </c>
      <c r="AW155" s="2" t="s">
        <v>124</v>
      </c>
      <c r="AX155" s="2" t="s">
        <v>125</v>
      </c>
      <c r="AY155" s="2" t="s">
        <v>650</v>
      </c>
      <c r="AZ155" s="2">
        <v>470</v>
      </c>
      <c r="BA155" s="2">
        <v>209</v>
      </c>
      <c r="BB155" s="44" t="str">
        <f>VLOOKUP(age_group[[#This Row],[trust_code]],trust_lookup[],3,0)</f>
        <v>LAS</v>
      </c>
    </row>
    <row r="156" spans="1:54" x14ac:dyDescent="0.35">
      <c r="A156" s="2" t="s">
        <v>518</v>
      </c>
      <c r="B156" s="2" t="s">
        <v>83</v>
      </c>
      <c r="C156" s="2" t="s">
        <v>84</v>
      </c>
      <c r="D156" s="2" t="s">
        <v>27</v>
      </c>
      <c r="E156" s="2" t="s">
        <v>74</v>
      </c>
      <c r="F156" s="2">
        <v>173</v>
      </c>
      <c r="G156" s="2">
        <v>110</v>
      </c>
      <c r="H156" s="14" t="str">
        <f>VLOOKUP(flu_group[[#This Row],[trust_code]],trust_lookup[],3,0)</f>
        <v>GOSH</v>
      </c>
      <c r="I156" s="14" t="str">
        <f>VLOOKUP(flu_group[[#This Row],[trust_code]],trust_lookup[],4,0)</f>
        <v>Specialist</v>
      </c>
      <c r="K156" s="2" t="s">
        <v>518</v>
      </c>
      <c r="L156" s="2" t="s">
        <v>37</v>
      </c>
      <c r="M156" s="2" t="s">
        <v>38</v>
      </c>
      <c r="N156" s="2" t="s">
        <v>190</v>
      </c>
      <c r="O156" s="2" t="s">
        <v>135</v>
      </c>
      <c r="P156" s="2">
        <v>114</v>
      </c>
      <c r="R156" s="43">
        <v>45635</v>
      </c>
      <c r="S156" s="2">
        <v>50</v>
      </c>
      <c r="T156" s="2" t="s">
        <v>519</v>
      </c>
      <c r="U156" s="2" t="s">
        <v>62</v>
      </c>
      <c r="V156" s="2" t="s">
        <v>63</v>
      </c>
      <c r="W156" s="2" t="s">
        <v>194</v>
      </c>
      <c r="X156" s="23">
        <v>27</v>
      </c>
      <c r="Y156" s="23">
        <v>1123</v>
      </c>
      <c r="Z156" s="23">
        <v>3343</v>
      </c>
      <c r="AA156" s="24">
        <v>0.33592581513610498</v>
      </c>
      <c r="AB156" s="14" t="str">
        <f>VLOOKUP(flu_aw24[[#This Row],[trust_code]],trust_lookup[],3,0)</f>
        <v>Croydon</v>
      </c>
      <c r="AD156" s="43">
        <v>46006</v>
      </c>
      <c r="AE156" s="2">
        <v>51</v>
      </c>
      <c r="AF156" s="2" t="s">
        <v>518</v>
      </c>
      <c r="AG156" s="2" t="s">
        <v>179</v>
      </c>
      <c r="AH156" s="2" t="s">
        <v>180</v>
      </c>
      <c r="AI156" s="2" t="s">
        <v>194</v>
      </c>
      <c r="AJ156" s="23">
        <v>48</v>
      </c>
      <c r="AK156" s="23">
        <v>1529</v>
      </c>
      <c r="AL156" s="23">
        <v>3394</v>
      </c>
      <c r="AM156" s="24">
        <v>0.45050088391278698</v>
      </c>
      <c r="AN156" s="44" t="str">
        <f>VLOOKUP(flu_aw25[[#This Row],[trust_code]],trust_lookup[],3,0)</f>
        <v>Marsden</v>
      </c>
      <c r="AW156" s="2" t="s">
        <v>124</v>
      </c>
      <c r="AX156" s="2" t="s">
        <v>125</v>
      </c>
      <c r="AY156" s="2" t="s">
        <v>651</v>
      </c>
      <c r="AZ156" s="2">
        <v>769</v>
      </c>
      <c r="BA156" s="2">
        <v>391</v>
      </c>
      <c r="BB156" s="44" t="str">
        <f>VLOOKUP(age_group[[#This Row],[trust_code]],trust_lookup[],3,0)</f>
        <v>LAS</v>
      </c>
    </row>
    <row r="157" spans="1:54" x14ac:dyDescent="0.35">
      <c r="A157" s="2" t="s">
        <v>518</v>
      </c>
      <c r="B157" s="2" t="s">
        <v>182</v>
      </c>
      <c r="C157" s="2" t="s">
        <v>183</v>
      </c>
      <c r="D157" s="2" t="s">
        <v>27</v>
      </c>
      <c r="E157" s="2" t="s">
        <v>74</v>
      </c>
      <c r="F157" s="2">
        <v>319</v>
      </c>
      <c r="G157" s="2">
        <v>155</v>
      </c>
      <c r="H157" s="14" t="str">
        <f>VLOOKUP(flu_group[[#This Row],[trust_code]],trust_lookup[],3,0)</f>
        <v>UCLH</v>
      </c>
      <c r="I157" s="14" t="str">
        <f>VLOOKUP(flu_group[[#This Row],[trust_code]],trust_lookup[],4,0)</f>
        <v>Acute</v>
      </c>
      <c r="K157" s="2" t="s">
        <v>518</v>
      </c>
      <c r="L157" s="2" t="s">
        <v>37</v>
      </c>
      <c r="M157" s="2" t="s">
        <v>38</v>
      </c>
      <c r="N157" s="2" t="s">
        <v>190</v>
      </c>
      <c r="O157" s="2" t="s">
        <v>54</v>
      </c>
      <c r="P157" s="2">
        <v>748</v>
      </c>
      <c r="R157" s="43">
        <v>45642</v>
      </c>
      <c r="S157" s="2">
        <v>51</v>
      </c>
      <c r="T157" s="2" t="s">
        <v>519</v>
      </c>
      <c r="U157" s="2" t="s">
        <v>62</v>
      </c>
      <c r="V157" s="2" t="s">
        <v>63</v>
      </c>
      <c r="W157" s="2" t="s">
        <v>194</v>
      </c>
      <c r="X157" s="23">
        <v>63</v>
      </c>
      <c r="Y157" s="23">
        <v>1186</v>
      </c>
      <c r="Z157" s="23">
        <v>3343</v>
      </c>
      <c r="AA157" s="24">
        <v>0.354771163625486</v>
      </c>
      <c r="AB157" s="14" t="str">
        <f>VLOOKUP(flu_aw24[[#This Row],[trust_code]],trust_lookup[],3,0)</f>
        <v>Croydon</v>
      </c>
      <c r="AD157" s="43">
        <v>46013</v>
      </c>
      <c r="AE157" s="2">
        <v>52</v>
      </c>
      <c r="AF157" s="2" t="s">
        <v>518</v>
      </c>
      <c r="AG157" s="2" t="s">
        <v>179</v>
      </c>
      <c r="AH157" s="2" t="s">
        <v>180</v>
      </c>
      <c r="AI157" s="2" t="s">
        <v>194</v>
      </c>
      <c r="AJ157" s="23">
        <v>7</v>
      </c>
      <c r="AK157" s="23">
        <v>1536</v>
      </c>
      <c r="AL157" s="23">
        <v>3394</v>
      </c>
      <c r="AM157" s="24">
        <v>0.45256334708308699</v>
      </c>
      <c r="AN157" s="44" t="str">
        <f>VLOOKUP(flu_aw25[[#This Row],[trust_code]],trust_lookup[],3,0)</f>
        <v>Marsden</v>
      </c>
      <c r="AW157" s="2" t="s">
        <v>124</v>
      </c>
      <c r="AX157" s="2" t="s">
        <v>125</v>
      </c>
      <c r="AY157" s="2" t="s">
        <v>652</v>
      </c>
      <c r="AZ157" s="2">
        <v>540</v>
      </c>
      <c r="BA157" s="2">
        <v>237</v>
      </c>
      <c r="BB157" s="44" t="str">
        <f>VLOOKUP(age_group[[#This Row],[trust_code]],trust_lookup[],3,0)</f>
        <v>LAS</v>
      </c>
    </row>
    <row r="158" spans="1:54" x14ac:dyDescent="0.35">
      <c r="A158" s="2" t="s">
        <v>518</v>
      </c>
      <c r="B158" s="2" t="s">
        <v>113</v>
      </c>
      <c r="C158" s="2" t="s">
        <v>114</v>
      </c>
      <c r="D158" s="2" t="s">
        <v>194</v>
      </c>
      <c r="E158" s="2" t="s">
        <v>74</v>
      </c>
      <c r="F158" s="2">
        <v>82</v>
      </c>
      <c r="G158" s="2">
        <v>45</v>
      </c>
      <c r="H158" s="14" t="str">
        <f>VLOOKUP(flu_group[[#This Row],[trust_code]],trust_lookup[],3,0)</f>
        <v>K&amp;R FT</v>
      </c>
      <c r="I158" s="14" t="str">
        <f>VLOOKUP(flu_group[[#This Row],[trust_code]],trust_lookup[],4,0)</f>
        <v>Acute &amp; Community</v>
      </c>
      <c r="K158" s="2" t="s">
        <v>518</v>
      </c>
      <c r="L158" s="2" t="s">
        <v>37</v>
      </c>
      <c r="M158" s="2" t="s">
        <v>38</v>
      </c>
      <c r="N158" s="2" t="s">
        <v>190</v>
      </c>
      <c r="O158" s="2" t="s">
        <v>129</v>
      </c>
      <c r="P158" s="2">
        <v>26</v>
      </c>
      <c r="R158" s="43">
        <v>45649</v>
      </c>
      <c r="S158" s="2">
        <v>52</v>
      </c>
      <c r="T158" s="2" t="s">
        <v>519</v>
      </c>
      <c r="U158" s="2" t="s">
        <v>62</v>
      </c>
      <c r="V158" s="2" t="s">
        <v>63</v>
      </c>
      <c r="W158" s="2" t="s">
        <v>194</v>
      </c>
      <c r="X158" s="23">
        <v>2</v>
      </c>
      <c r="Y158" s="23">
        <v>1188</v>
      </c>
      <c r="Z158" s="23">
        <v>3343</v>
      </c>
      <c r="AA158" s="24">
        <v>0.35536942865689503</v>
      </c>
      <c r="AB158" s="14" t="str">
        <f>VLOOKUP(flu_aw24[[#This Row],[trust_code]],trust_lookup[],3,0)</f>
        <v>Croydon</v>
      </c>
      <c r="AD158" s="43">
        <v>46020</v>
      </c>
      <c r="AE158" s="2">
        <v>1</v>
      </c>
      <c r="AF158" s="2" t="s">
        <v>518</v>
      </c>
      <c r="AG158" s="2" t="s">
        <v>179</v>
      </c>
      <c r="AH158" s="2" t="s">
        <v>180</v>
      </c>
      <c r="AI158" s="2" t="s">
        <v>194</v>
      </c>
      <c r="AJ158" s="23">
        <v>7</v>
      </c>
      <c r="AK158" s="23">
        <v>1543</v>
      </c>
      <c r="AL158" s="23">
        <v>3394</v>
      </c>
      <c r="AM158" s="24">
        <v>0.454625810253388</v>
      </c>
      <c r="AN158" s="44" t="str">
        <f>VLOOKUP(flu_aw25[[#This Row],[trust_code]],trust_lookup[],3,0)</f>
        <v>Marsden</v>
      </c>
      <c r="AW158" s="2" t="s">
        <v>124</v>
      </c>
      <c r="AX158" s="2" t="s">
        <v>125</v>
      </c>
      <c r="AY158" s="2" t="s">
        <v>653</v>
      </c>
      <c r="AZ158" s="2">
        <v>440</v>
      </c>
      <c r="BA158" s="2">
        <v>198</v>
      </c>
      <c r="BB158" s="44" t="str">
        <f>VLOOKUP(age_group[[#This Row],[trust_code]],trust_lookup[],3,0)</f>
        <v>LAS</v>
      </c>
    </row>
    <row r="159" spans="1:54" x14ac:dyDescent="0.35">
      <c r="A159" s="2" t="s">
        <v>518</v>
      </c>
      <c r="B159" s="2" t="s">
        <v>89</v>
      </c>
      <c r="C159" s="2" t="s">
        <v>90</v>
      </c>
      <c r="D159" s="2" t="s">
        <v>193</v>
      </c>
      <c r="E159" s="2" t="s">
        <v>74</v>
      </c>
      <c r="F159" s="2">
        <v>879</v>
      </c>
      <c r="G159" s="2">
        <v>399</v>
      </c>
      <c r="H159" s="14" t="str">
        <f>VLOOKUP(flu_group[[#This Row],[trust_code]],trust_lookup[],3,0)</f>
        <v>GSTT</v>
      </c>
      <c r="I159" s="14" t="str">
        <f>VLOOKUP(flu_group[[#This Row],[trust_code]],trust_lookup[],4,0)</f>
        <v>Acute</v>
      </c>
      <c r="K159" s="2" t="s">
        <v>518</v>
      </c>
      <c r="L159" s="2" t="s">
        <v>37</v>
      </c>
      <c r="M159" s="2" t="s">
        <v>38</v>
      </c>
      <c r="N159" s="2" t="s">
        <v>190</v>
      </c>
      <c r="O159" s="2" t="s">
        <v>47</v>
      </c>
      <c r="P159" s="2">
        <v>47</v>
      </c>
      <c r="R159" s="43">
        <v>45656</v>
      </c>
      <c r="S159" s="2">
        <v>1</v>
      </c>
      <c r="T159" s="2" t="s">
        <v>519</v>
      </c>
      <c r="U159" s="2" t="s">
        <v>62</v>
      </c>
      <c r="V159" s="2" t="s">
        <v>63</v>
      </c>
      <c r="W159" s="2" t="s">
        <v>194</v>
      </c>
      <c r="X159" s="23">
        <v>6</v>
      </c>
      <c r="Y159" s="23">
        <v>1194</v>
      </c>
      <c r="Z159" s="23">
        <v>3343</v>
      </c>
      <c r="AA159" s="24">
        <v>0.357164223751121</v>
      </c>
      <c r="AB159" s="14" t="str">
        <f>VLOOKUP(flu_aw24[[#This Row],[trust_code]],trust_lookup[],3,0)</f>
        <v>Croydon</v>
      </c>
      <c r="AD159" s="43">
        <v>46027</v>
      </c>
      <c r="AE159" s="2">
        <v>2</v>
      </c>
      <c r="AF159" s="2" t="s">
        <v>518</v>
      </c>
      <c r="AG159" s="2" t="s">
        <v>179</v>
      </c>
      <c r="AH159" s="2" t="s">
        <v>180</v>
      </c>
      <c r="AI159" s="2" t="s">
        <v>194</v>
      </c>
      <c r="AJ159" s="23">
        <v>12</v>
      </c>
      <c r="AK159" s="23">
        <v>1555</v>
      </c>
      <c r="AL159" s="23">
        <v>3394</v>
      </c>
      <c r="AM159" s="24">
        <v>0.45816146140247399</v>
      </c>
      <c r="AN159" s="44" t="str">
        <f>VLOOKUP(flu_aw25[[#This Row],[trust_code]],trust_lookup[],3,0)</f>
        <v>Marsden</v>
      </c>
      <c r="AW159" s="2" t="s">
        <v>124</v>
      </c>
      <c r="AX159" s="2" t="s">
        <v>125</v>
      </c>
      <c r="AY159" s="2" t="s">
        <v>654</v>
      </c>
      <c r="AZ159" s="2">
        <v>308</v>
      </c>
      <c r="BA159" s="2">
        <v>155</v>
      </c>
      <c r="BB159" s="44" t="str">
        <f>VLOOKUP(age_group[[#This Row],[trust_code]],trust_lookup[],3,0)</f>
        <v>LAS</v>
      </c>
    </row>
    <row r="160" spans="1:54" x14ac:dyDescent="0.35">
      <c r="A160" s="2" t="s">
        <v>518</v>
      </c>
      <c r="B160" s="2" t="s">
        <v>76</v>
      </c>
      <c r="C160" s="2" t="s">
        <v>77</v>
      </c>
      <c r="D160" s="2" t="s">
        <v>194</v>
      </c>
      <c r="E160" s="2" t="s">
        <v>74</v>
      </c>
      <c r="F160" s="2">
        <v>73</v>
      </c>
      <c r="G160" s="2">
        <v>43</v>
      </c>
      <c r="H160" s="14" t="str">
        <f>VLOOKUP(flu_group[[#This Row],[trust_code]],trust_lookup[],3,0)</f>
        <v>Epsom</v>
      </c>
      <c r="I160" s="14" t="str">
        <f>VLOOKUP(flu_group[[#This Row],[trust_code]],trust_lookup[],4,0)</f>
        <v>Acute</v>
      </c>
      <c r="K160" s="2" t="s">
        <v>518</v>
      </c>
      <c r="L160" s="2" t="s">
        <v>37</v>
      </c>
      <c r="M160" s="2" t="s">
        <v>38</v>
      </c>
      <c r="N160" s="2" t="s">
        <v>190</v>
      </c>
      <c r="O160" s="2" t="s">
        <v>94</v>
      </c>
      <c r="P160" s="2">
        <v>51</v>
      </c>
      <c r="R160" s="43">
        <v>45663</v>
      </c>
      <c r="S160" s="2">
        <v>2</v>
      </c>
      <c r="T160" s="2" t="s">
        <v>519</v>
      </c>
      <c r="U160" s="2" t="s">
        <v>62</v>
      </c>
      <c r="V160" s="2" t="s">
        <v>63</v>
      </c>
      <c r="W160" s="2" t="s">
        <v>194</v>
      </c>
      <c r="X160" s="23">
        <v>24</v>
      </c>
      <c r="Y160" s="23">
        <v>1218</v>
      </c>
      <c r="Z160" s="23">
        <v>3343</v>
      </c>
      <c r="AA160" s="24">
        <v>0.36434340412802801</v>
      </c>
      <c r="AB160" s="14" t="str">
        <f>VLOOKUP(flu_aw24[[#This Row],[trust_code]],trust_lookup[],3,0)</f>
        <v>Croydon</v>
      </c>
      <c r="AD160" s="43">
        <v>46034</v>
      </c>
      <c r="AE160" s="2">
        <v>3</v>
      </c>
      <c r="AF160" s="2" t="s">
        <v>518</v>
      </c>
      <c r="AG160" s="2" t="s">
        <v>179</v>
      </c>
      <c r="AH160" s="2" t="s">
        <v>180</v>
      </c>
      <c r="AI160" s="2" t="s">
        <v>194</v>
      </c>
      <c r="AJ160" s="23">
        <v>8</v>
      </c>
      <c r="AK160" s="23">
        <v>1563</v>
      </c>
      <c r="AL160" s="23">
        <v>3394</v>
      </c>
      <c r="AM160" s="24">
        <v>0.46051856216853199</v>
      </c>
      <c r="AN160" s="44" t="str">
        <f>VLOOKUP(flu_aw25[[#This Row],[trust_code]],trust_lookup[],3,0)</f>
        <v>Marsden</v>
      </c>
      <c r="AW160" s="2" t="s">
        <v>124</v>
      </c>
      <c r="AX160" s="2" t="s">
        <v>125</v>
      </c>
      <c r="AY160" s="2" t="s">
        <v>655</v>
      </c>
      <c r="AZ160" s="2">
        <v>292</v>
      </c>
      <c r="BA160" s="2">
        <v>148</v>
      </c>
      <c r="BB160" s="44" t="str">
        <f>VLOOKUP(age_group[[#This Row],[trust_code]],trust_lookup[],3,0)</f>
        <v>LAS</v>
      </c>
    </row>
    <row r="161" spans="1:54" x14ac:dyDescent="0.35">
      <c r="A161" s="2" t="s">
        <v>518</v>
      </c>
      <c r="B161" s="2" t="s">
        <v>101</v>
      </c>
      <c r="C161" s="2" t="s">
        <v>102</v>
      </c>
      <c r="D161" s="2" t="s">
        <v>192</v>
      </c>
      <c r="E161" s="2" t="s">
        <v>74</v>
      </c>
      <c r="F161" s="2">
        <v>709</v>
      </c>
      <c r="G161" s="2">
        <v>231</v>
      </c>
      <c r="H161" s="14" t="str">
        <f>VLOOKUP(flu_group[[#This Row],[trust_code]],trust_lookup[],3,0)</f>
        <v>Imperial</v>
      </c>
      <c r="I161" s="14" t="str">
        <f>VLOOKUP(flu_group[[#This Row],[trust_code]],trust_lookup[],4,0)</f>
        <v>Acute</v>
      </c>
      <c r="K161" s="2" t="s">
        <v>518</v>
      </c>
      <c r="L161" s="2" t="s">
        <v>37</v>
      </c>
      <c r="M161" s="2" t="s">
        <v>38</v>
      </c>
      <c r="N161" s="2" t="s">
        <v>190</v>
      </c>
      <c r="O161" s="2" t="s">
        <v>29</v>
      </c>
      <c r="P161" s="2">
        <v>122</v>
      </c>
      <c r="R161" s="43">
        <v>45670</v>
      </c>
      <c r="S161" s="2">
        <v>3</v>
      </c>
      <c r="T161" s="2" t="s">
        <v>519</v>
      </c>
      <c r="U161" s="2" t="s">
        <v>62</v>
      </c>
      <c r="V161" s="2" t="s">
        <v>63</v>
      </c>
      <c r="W161" s="2" t="s">
        <v>194</v>
      </c>
      <c r="X161" s="23">
        <v>31</v>
      </c>
      <c r="Y161" s="23">
        <v>1249</v>
      </c>
      <c r="Z161" s="23">
        <v>3343</v>
      </c>
      <c r="AA161" s="24">
        <v>0.37361651211486602</v>
      </c>
      <c r="AB161" s="14" t="str">
        <f>VLOOKUP(flu_aw24[[#This Row],[trust_code]],trust_lookup[],3,0)</f>
        <v>Croydon</v>
      </c>
      <c r="AD161" s="43">
        <v>46041</v>
      </c>
      <c r="AE161" s="2">
        <v>4</v>
      </c>
      <c r="AF161" s="2" t="s">
        <v>518</v>
      </c>
      <c r="AG161" s="2" t="s">
        <v>179</v>
      </c>
      <c r="AH161" s="2" t="s">
        <v>180</v>
      </c>
      <c r="AI161" s="2" t="s">
        <v>194</v>
      </c>
      <c r="AJ161" s="23">
        <v>5</v>
      </c>
      <c r="AK161" s="23">
        <v>1568</v>
      </c>
      <c r="AL161" s="23">
        <v>3394</v>
      </c>
      <c r="AM161" s="24">
        <v>0.46199175014731803</v>
      </c>
      <c r="AN161" s="44" t="str">
        <f>VLOOKUP(flu_aw25[[#This Row],[trust_code]],trust_lookup[],3,0)</f>
        <v>Marsden</v>
      </c>
      <c r="AW161" s="2" t="s">
        <v>124</v>
      </c>
      <c r="AX161" s="2" t="s">
        <v>125</v>
      </c>
      <c r="AY161" s="2" t="s">
        <v>656</v>
      </c>
      <c r="AZ161" s="2">
        <v>346</v>
      </c>
      <c r="BA161" s="2">
        <v>195</v>
      </c>
      <c r="BB161" s="44" t="str">
        <f>VLOOKUP(age_group[[#This Row],[trust_code]],trust_lookup[],3,0)</f>
        <v>LAS</v>
      </c>
    </row>
    <row r="162" spans="1:54" x14ac:dyDescent="0.35">
      <c r="A162" s="2" t="s">
        <v>518</v>
      </c>
      <c r="B162" s="2" t="s">
        <v>170</v>
      </c>
      <c r="C162" s="2" t="s">
        <v>171</v>
      </c>
      <c r="D162" s="2" t="s">
        <v>194</v>
      </c>
      <c r="E162" s="2" t="s">
        <v>74</v>
      </c>
      <c r="F162" s="2">
        <v>475</v>
      </c>
      <c r="G162" s="2">
        <v>182</v>
      </c>
      <c r="H162" s="14" t="str">
        <f>VLOOKUP(flu_group[[#This Row],[trust_code]],trust_lookup[],3,0)</f>
        <v>St George's</v>
      </c>
      <c r="I162" s="14" t="str">
        <f>VLOOKUP(flu_group[[#This Row],[trust_code]],trust_lookup[],4,0)</f>
        <v>Acute</v>
      </c>
      <c r="K162" s="2" t="s">
        <v>518</v>
      </c>
      <c r="L162" s="2" t="s">
        <v>37</v>
      </c>
      <c r="M162" s="2" t="s">
        <v>38</v>
      </c>
      <c r="N162" s="2" t="s">
        <v>190</v>
      </c>
      <c r="O162" s="2" t="s">
        <v>123</v>
      </c>
      <c r="P162" s="2">
        <v>666</v>
      </c>
      <c r="R162" s="43">
        <v>45677</v>
      </c>
      <c r="S162" s="2">
        <v>4</v>
      </c>
      <c r="T162" s="2" t="s">
        <v>519</v>
      </c>
      <c r="U162" s="2" t="s">
        <v>62</v>
      </c>
      <c r="V162" s="2" t="s">
        <v>63</v>
      </c>
      <c r="W162" s="2" t="s">
        <v>194</v>
      </c>
      <c r="X162" s="23">
        <v>11</v>
      </c>
      <c r="Y162" s="23">
        <v>1260</v>
      </c>
      <c r="Z162" s="23">
        <v>3343</v>
      </c>
      <c r="AA162" s="24">
        <v>0.37690696978761501</v>
      </c>
      <c r="AB162" s="14" t="str">
        <f>VLOOKUP(flu_aw24[[#This Row],[trust_code]],trust_lookup[],3,0)</f>
        <v>Croydon</v>
      </c>
      <c r="AD162" s="43">
        <v>46048</v>
      </c>
      <c r="AE162" s="2">
        <v>5</v>
      </c>
      <c r="AF162" s="2" t="s">
        <v>518</v>
      </c>
      <c r="AG162" s="2" t="s">
        <v>179</v>
      </c>
      <c r="AH162" s="2" t="s">
        <v>180</v>
      </c>
      <c r="AI162" s="2" t="s">
        <v>194</v>
      </c>
      <c r="AJ162" s="23">
        <v>2</v>
      </c>
      <c r="AK162" s="23">
        <v>1570</v>
      </c>
      <c r="AL162" s="23">
        <v>3394</v>
      </c>
      <c r="AM162" s="24">
        <v>0.462581025338833</v>
      </c>
      <c r="AN162" s="44" t="str">
        <f>VLOOKUP(flu_aw25[[#This Row],[trust_code]],trust_lookup[],3,0)</f>
        <v>Marsden</v>
      </c>
      <c r="AW162" s="2" t="s">
        <v>124</v>
      </c>
      <c r="AX162" s="2" t="s">
        <v>125</v>
      </c>
      <c r="AY162" s="2" t="s">
        <v>657</v>
      </c>
      <c r="AZ162" s="2">
        <v>298</v>
      </c>
      <c r="BA162" s="2">
        <v>144</v>
      </c>
      <c r="BB162" s="44" t="str">
        <f>VLOOKUP(age_group[[#This Row],[trust_code]],trust_lookup[],3,0)</f>
        <v>LAS</v>
      </c>
    </row>
    <row r="163" spans="1:54" x14ac:dyDescent="0.35">
      <c r="A163" s="2" t="s">
        <v>518</v>
      </c>
      <c r="B163" s="2" t="s">
        <v>107</v>
      </c>
      <c r="C163" s="2" t="s">
        <v>108</v>
      </c>
      <c r="D163" s="2" t="s">
        <v>193</v>
      </c>
      <c r="E163" s="2" t="s">
        <v>74</v>
      </c>
      <c r="F163" s="2">
        <v>188</v>
      </c>
      <c r="G163" s="2">
        <v>80</v>
      </c>
      <c r="H163" s="14" t="str">
        <f>VLOOKUP(flu_group[[#This Row],[trust_code]],trust_lookup[],3,0)</f>
        <v>King's</v>
      </c>
      <c r="I163" s="14" t="str">
        <f>VLOOKUP(flu_group[[#This Row],[trust_code]],trust_lookup[],4,0)</f>
        <v>Acute</v>
      </c>
      <c r="K163" s="2" t="s">
        <v>518</v>
      </c>
      <c r="L163" s="2" t="s">
        <v>37</v>
      </c>
      <c r="M163" s="2" t="s">
        <v>38</v>
      </c>
      <c r="N163" s="2" t="s">
        <v>190</v>
      </c>
      <c r="O163" s="2" t="s">
        <v>82</v>
      </c>
      <c r="P163" s="2">
        <v>183</v>
      </c>
      <c r="R163" s="43">
        <v>45684</v>
      </c>
      <c r="S163" s="2">
        <v>5</v>
      </c>
      <c r="T163" s="2" t="s">
        <v>519</v>
      </c>
      <c r="U163" s="2" t="s">
        <v>62</v>
      </c>
      <c r="V163" s="2" t="s">
        <v>63</v>
      </c>
      <c r="W163" s="2" t="s">
        <v>194</v>
      </c>
      <c r="X163" s="23">
        <v>11</v>
      </c>
      <c r="Y163" s="23">
        <v>1271</v>
      </c>
      <c r="Z163" s="23">
        <v>3343</v>
      </c>
      <c r="AA163" s="24">
        <v>0.380197427460364</v>
      </c>
      <c r="AB163" s="14" t="str">
        <f>VLOOKUP(flu_aw24[[#This Row],[trust_code]],trust_lookup[],3,0)</f>
        <v>Croydon</v>
      </c>
      <c r="AD163" s="43">
        <v>46055</v>
      </c>
      <c r="AE163" s="2">
        <v>6</v>
      </c>
      <c r="AF163" s="2" t="s">
        <v>518</v>
      </c>
      <c r="AG163" s="2" t="s">
        <v>179</v>
      </c>
      <c r="AH163" s="2" t="s">
        <v>180</v>
      </c>
      <c r="AI163" s="2" t="s">
        <v>194</v>
      </c>
      <c r="AJ163" s="23">
        <v>7</v>
      </c>
      <c r="AK163" s="23">
        <v>1577</v>
      </c>
      <c r="AL163" s="23">
        <v>3394</v>
      </c>
      <c r="AM163" s="24">
        <v>0.46464348850913301</v>
      </c>
      <c r="AN163" s="44" t="str">
        <f>VLOOKUP(flu_aw25[[#This Row],[trust_code]],trust_lookup[],3,0)</f>
        <v>Marsden</v>
      </c>
      <c r="AW163" s="2" t="s">
        <v>124</v>
      </c>
      <c r="AX163" s="2" t="s">
        <v>125</v>
      </c>
      <c r="AY163" s="2" t="s">
        <v>658</v>
      </c>
      <c r="AZ163" s="2">
        <v>149</v>
      </c>
      <c r="BA163" s="2">
        <v>96</v>
      </c>
      <c r="BB163" s="44" t="str">
        <f>VLOOKUP(age_group[[#This Row],[trust_code]],trust_lookup[],3,0)</f>
        <v>LAS</v>
      </c>
    </row>
    <row r="164" spans="1:54" x14ac:dyDescent="0.35">
      <c r="A164" s="2" t="s">
        <v>518</v>
      </c>
      <c r="B164" s="2" t="s">
        <v>118</v>
      </c>
      <c r="C164" s="2" t="s">
        <v>119</v>
      </c>
      <c r="D164" s="2" t="s">
        <v>193</v>
      </c>
      <c r="E164" s="2" t="s">
        <v>74</v>
      </c>
      <c r="F164" s="2">
        <v>80</v>
      </c>
      <c r="G164" s="2">
        <v>19</v>
      </c>
      <c r="H164" s="14" t="str">
        <f>VLOOKUP(flu_group[[#This Row],[trust_code]],trust_lookup[],3,0)</f>
        <v>L&amp;G</v>
      </c>
      <c r="I164" s="14" t="str">
        <f>VLOOKUP(flu_group[[#This Row],[trust_code]],trust_lookup[],4,0)</f>
        <v>Acute</v>
      </c>
      <c r="K164" s="2" t="s">
        <v>518</v>
      </c>
      <c r="L164" s="2" t="s">
        <v>37</v>
      </c>
      <c r="M164" s="2" t="s">
        <v>38</v>
      </c>
      <c r="N164" s="2" t="s">
        <v>190</v>
      </c>
      <c r="O164" s="2" t="s">
        <v>88</v>
      </c>
      <c r="P164" s="2">
        <v>244</v>
      </c>
      <c r="R164" s="43">
        <v>45691</v>
      </c>
      <c r="S164" s="2">
        <v>6</v>
      </c>
      <c r="T164" s="2" t="s">
        <v>519</v>
      </c>
      <c r="U164" s="2" t="s">
        <v>62</v>
      </c>
      <c r="V164" s="2" t="s">
        <v>63</v>
      </c>
      <c r="W164" s="2" t="s">
        <v>194</v>
      </c>
      <c r="X164" s="23">
        <v>21</v>
      </c>
      <c r="Y164" s="23">
        <v>1292</v>
      </c>
      <c r="Z164" s="23">
        <v>3343</v>
      </c>
      <c r="AA164" s="24">
        <v>0.38647921029015803</v>
      </c>
      <c r="AB164" s="14" t="str">
        <f>VLOOKUP(flu_aw24[[#This Row],[trust_code]],trust_lookup[],3,0)</f>
        <v>Croydon</v>
      </c>
      <c r="AD164" s="43">
        <v>46076</v>
      </c>
      <c r="AE164" s="2">
        <v>9</v>
      </c>
      <c r="AF164" s="2" t="s">
        <v>518</v>
      </c>
      <c r="AG164" s="2" t="s">
        <v>179</v>
      </c>
      <c r="AH164" s="2" t="s">
        <v>180</v>
      </c>
      <c r="AI164" s="2" t="s">
        <v>194</v>
      </c>
      <c r="AJ164" s="23">
        <v>1</v>
      </c>
      <c r="AK164" s="23">
        <v>1578</v>
      </c>
      <c r="AL164" s="23">
        <v>3394</v>
      </c>
      <c r="AM164" s="24">
        <v>0.46493812610489099</v>
      </c>
      <c r="AN164" s="44" t="str">
        <f>VLOOKUP(flu_aw25[[#This Row],[trust_code]],trust_lookup[],3,0)</f>
        <v>Marsden</v>
      </c>
      <c r="AW164" s="2" t="s">
        <v>124</v>
      </c>
      <c r="AX164" s="2" t="s">
        <v>125</v>
      </c>
      <c r="AY164" s="2" t="s">
        <v>659</v>
      </c>
      <c r="AZ164" s="2">
        <v>49</v>
      </c>
      <c r="BA164" s="2">
        <v>39</v>
      </c>
      <c r="BB164" s="44" t="str">
        <f>VLOOKUP(age_group[[#This Row],[trust_code]],trust_lookup[],3,0)</f>
        <v>LAS</v>
      </c>
    </row>
    <row r="165" spans="1:54" x14ac:dyDescent="0.35">
      <c r="A165" s="2" t="s">
        <v>518</v>
      </c>
      <c r="B165" s="2" t="s">
        <v>30</v>
      </c>
      <c r="C165" s="2" t="s">
        <v>31</v>
      </c>
      <c r="D165" s="2" t="s">
        <v>190</v>
      </c>
      <c r="E165" s="2" t="s">
        <v>74</v>
      </c>
      <c r="F165" s="2">
        <v>85</v>
      </c>
      <c r="G165" s="2">
        <v>31</v>
      </c>
      <c r="H165" s="14" t="str">
        <f>VLOOKUP(flu_group[[#This Row],[trust_code]],trust_lookup[],3,0)</f>
        <v>BHR</v>
      </c>
      <c r="I165" s="14" t="str">
        <f>VLOOKUP(flu_group[[#This Row],[trust_code]],trust_lookup[],4,0)</f>
        <v>Acute</v>
      </c>
      <c r="K165" s="2" t="s">
        <v>518</v>
      </c>
      <c r="L165" s="2" t="s">
        <v>37</v>
      </c>
      <c r="M165" s="2" t="s">
        <v>38</v>
      </c>
      <c r="N165" s="2" t="s">
        <v>190</v>
      </c>
      <c r="O165" s="2" t="s">
        <v>141</v>
      </c>
      <c r="P165" s="2">
        <v>692</v>
      </c>
      <c r="R165" s="43">
        <v>45698</v>
      </c>
      <c r="S165" s="2">
        <v>7</v>
      </c>
      <c r="T165" s="2" t="s">
        <v>519</v>
      </c>
      <c r="U165" s="2" t="s">
        <v>62</v>
      </c>
      <c r="V165" s="2" t="s">
        <v>63</v>
      </c>
      <c r="W165" s="2" t="s">
        <v>194</v>
      </c>
      <c r="X165" s="23">
        <v>4</v>
      </c>
      <c r="Y165" s="23">
        <v>1296</v>
      </c>
      <c r="Z165" s="23">
        <v>3343</v>
      </c>
      <c r="AA165" s="24">
        <v>0.38767574035297597</v>
      </c>
      <c r="AB165" s="14" t="str">
        <f>VLOOKUP(flu_aw24[[#This Row],[trust_code]],trust_lookup[],3,0)</f>
        <v>Croydon</v>
      </c>
      <c r="AD165" s="43">
        <v>45901</v>
      </c>
      <c r="AE165" s="2">
        <v>36</v>
      </c>
      <c r="AF165" s="2" t="s">
        <v>518</v>
      </c>
      <c r="AG165" s="2" t="s">
        <v>147</v>
      </c>
      <c r="AH165" s="2" t="s">
        <v>148</v>
      </c>
      <c r="AI165" s="2" t="s">
        <v>27</v>
      </c>
      <c r="AJ165" s="23">
        <v>1</v>
      </c>
      <c r="AK165" s="23">
        <v>1</v>
      </c>
      <c r="AL165" s="23">
        <v>5165</v>
      </c>
      <c r="AM165" s="24">
        <v>1.9361084220716299E-4</v>
      </c>
      <c r="AN165" s="44" t="str">
        <f>VLOOKUP(flu_aw25[[#This Row],[trust_code]],trust_lookup[],3,0)</f>
        <v>North London</v>
      </c>
      <c r="AW165" s="2" t="s">
        <v>130</v>
      </c>
      <c r="AX165" s="2" t="s">
        <v>131</v>
      </c>
      <c r="AY165" s="2" t="s">
        <v>650</v>
      </c>
      <c r="AZ165" s="2">
        <v>118</v>
      </c>
      <c r="BA165" s="2">
        <v>30</v>
      </c>
      <c r="BB165" s="44" t="str">
        <f>VLOOKUP(age_group[[#This Row],[trust_code]],trust_lookup[],3,0)</f>
        <v>LNW</v>
      </c>
    </row>
    <row r="166" spans="1:54" x14ac:dyDescent="0.35">
      <c r="A166" s="2" t="s">
        <v>518</v>
      </c>
      <c r="B166" s="2" t="s">
        <v>179</v>
      </c>
      <c r="C166" s="2" t="s">
        <v>180</v>
      </c>
      <c r="D166" s="2" t="s">
        <v>194</v>
      </c>
      <c r="E166" s="2" t="s">
        <v>74</v>
      </c>
      <c r="F166" s="2">
        <v>319</v>
      </c>
      <c r="G166" s="2">
        <v>135</v>
      </c>
      <c r="H166" s="14" t="str">
        <f>VLOOKUP(flu_group[[#This Row],[trust_code]],trust_lookup[],3,0)</f>
        <v>Marsden</v>
      </c>
      <c r="I166" s="14" t="str">
        <f>VLOOKUP(flu_group[[#This Row],[trust_code]],trust_lookup[],4,0)</f>
        <v>Specialist</v>
      </c>
      <c r="K166" s="2" t="s">
        <v>518</v>
      </c>
      <c r="L166" s="2" t="s">
        <v>37</v>
      </c>
      <c r="M166" s="2" t="s">
        <v>38</v>
      </c>
      <c r="N166" s="2" t="s">
        <v>190</v>
      </c>
      <c r="O166" s="2" t="s">
        <v>61</v>
      </c>
      <c r="P166" s="2">
        <v>102</v>
      </c>
      <c r="R166" s="43">
        <v>45705</v>
      </c>
      <c r="S166" s="2">
        <v>8</v>
      </c>
      <c r="T166" s="2" t="s">
        <v>519</v>
      </c>
      <c r="U166" s="2" t="s">
        <v>62</v>
      </c>
      <c r="V166" s="2" t="s">
        <v>63</v>
      </c>
      <c r="W166" s="2" t="s">
        <v>194</v>
      </c>
      <c r="X166" s="23">
        <v>1</v>
      </c>
      <c r="Y166" s="23">
        <v>1297</v>
      </c>
      <c r="Z166" s="23">
        <v>3343</v>
      </c>
      <c r="AA166" s="24">
        <v>0.38797487286867999</v>
      </c>
      <c r="AB166" s="14" t="str">
        <f>VLOOKUP(flu_aw24[[#This Row],[trust_code]],trust_lookup[],3,0)</f>
        <v>Croydon</v>
      </c>
      <c r="AD166" s="43">
        <v>45908</v>
      </c>
      <c r="AE166" s="2">
        <v>37</v>
      </c>
      <c r="AF166" s="2" t="s">
        <v>518</v>
      </c>
      <c r="AG166" s="2" t="s">
        <v>147</v>
      </c>
      <c r="AH166" s="2" t="s">
        <v>148</v>
      </c>
      <c r="AI166" s="2" t="s">
        <v>27</v>
      </c>
      <c r="AJ166" s="23">
        <v>3</v>
      </c>
      <c r="AK166" s="23">
        <v>4</v>
      </c>
      <c r="AL166" s="23">
        <v>5165</v>
      </c>
      <c r="AM166" s="24">
        <v>7.7444336882865402E-4</v>
      </c>
      <c r="AN166" s="44" t="str">
        <f>VLOOKUP(flu_aw25[[#This Row],[trust_code]],trust_lookup[],3,0)</f>
        <v>North London</v>
      </c>
      <c r="AW166" s="2" t="s">
        <v>130</v>
      </c>
      <c r="AX166" s="2" t="s">
        <v>131</v>
      </c>
      <c r="AY166" s="2" t="s">
        <v>651</v>
      </c>
      <c r="AZ166" s="2">
        <v>509</v>
      </c>
      <c r="BA166" s="2">
        <v>192</v>
      </c>
      <c r="BB166" s="44" t="str">
        <f>VLOOKUP(age_group[[#This Row],[trust_code]],trust_lookup[],3,0)</f>
        <v>LNW</v>
      </c>
    </row>
    <row r="167" spans="1:54" x14ac:dyDescent="0.35">
      <c r="A167" s="2" t="s">
        <v>518</v>
      </c>
      <c r="B167" s="2" t="s">
        <v>37</v>
      </c>
      <c r="C167" s="2" t="s">
        <v>38</v>
      </c>
      <c r="D167" s="2" t="s">
        <v>190</v>
      </c>
      <c r="E167" s="2" t="s">
        <v>74</v>
      </c>
      <c r="F167" s="2">
        <v>334</v>
      </c>
      <c r="G167" s="2">
        <v>146</v>
      </c>
      <c r="H167" s="14" t="str">
        <f>VLOOKUP(flu_group[[#This Row],[trust_code]],trust_lookup[],3,0)</f>
        <v>Barts</v>
      </c>
      <c r="I167" s="14" t="str">
        <f>VLOOKUP(flu_group[[#This Row],[trust_code]],trust_lookup[],4,0)</f>
        <v>Acute</v>
      </c>
      <c r="K167" s="2" t="s">
        <v>518</v>
      </c>
      <c r="L167" s="2" t="s">
        <v>37</v>
      </c>
      <c r="M167" s="2" t="s">
        <v>38</v>
      </c>
      <c r="N167" s="2" t="s">
        <v>190</v>
      </c>
      <c r="O167" s="2" t="s">
        <v>100</v>
      </c>
      <c r="P167" s="2">
        <v>849</v>
      </c>
      <c r="R167" s="43">
        <v>45712</v>
      </c>
      <c r="S167" s="2">
        <v>9</v>
      </c>
      <c r="T167" s="2" t="s">
        <v>519</v>
      </c>
      <c r="U167" s="2" t="s">
        <v>62</v>
      </c>
      <c r="V167" s="2" t="s">
        <v>63</v>
      </c>
      <c r="W167" s="2" t="s">
        <v>194</v>
      </c>
      <c r="X167" s="23">
        <v>1</v>
      </c>
      <c r="Y167" s="23">
        <v>1298</v>
      </c>
      <c r="Z167" s="23">
        <v>3343</v>
      </c>
      <c r="AA167" s="24">
        <v>0.388274005384385</v>
      </c>
      <c r="AB167" s="14" t="str">
        <f>VLOOKUP(flu_aw24[[#This Row],[trust_code]],trust_lookup[],3,0)</f>
        <v>Croydon</v>
      </c>
      <c r="AD167" s="43">
        <v>45915</v>
      </c>
      <c r="AE167" s="2">
        <v>38</v>
      </c>
      <c r="AF167" s="2" t="s">
        <v>518</v>
      </c>
      <c r="AG167" s="2" t="s">
        <v>147</v>
      </c>
      <c r="AH167" s="2" t="s">
        <v>148</v>
      </c>
      <c r="AI167" s="2" t="s">
        <v>27</v>
      </c>
      <c r="AJ167" s="23">
        <v>1</v>
      </c>
      <c r="AK167" s="23">
        <v>5</v>
      </c>
      <c r="AL167" s="23">
        <v>5165</v>
      </c>
      <c r="AM167" s="24">
        <v>9.6805421103581804E-4</v>
      </c>
      <c r="AN167" s="44" t="str">
        <f>VLOOKUP(flu_aw25[[#This Row],[trust_code]],trust_lookup[],3,0)</f>
        <v>North London</v>
      </c>
      <c r="AW167" s="2" t="s">
        <v>130</v>
      </c>
      <c r="AX167" s="2" t="s">
        <v>131</v>
      </c>
      <c r="AY167" s="2" t="s">
        <v>652</v>
      </c>
      <c r="AZ167" s="2">
        <v>565</v>
      </c>
      <c r="BA167" s="2">
        <v>208</v>
      </c>
      <c r="BB167" s="44" t="str">
        <f>VLOOKUP(age_group[[#This Row],[trust_code]],trust_lookup[],3,0)</f>
        <v>LNW</v>
      </c>
    </row>
    <row r="168" spans="1:54" x14ac:dyDescent="0.35">
      <c r="A168" s="2" t="s">
        <v>518</v>
      </c>
      <c r="B168" s="2" t="s">
        <v>157</v>
      </c>
      <c r="C168" s="2" t="s">
        <v>158</v>
      </c>
      <c r="D168" s="2" t="s">
        <v>27</v>
      </c>
      <c r="E168" s="2" t="s">
        <v>74</v>
      </c>
      <c r="F168" s="2">
        <v>310</v>
      </c>
      <c r="G168" s="2">
        <v>129</v>
      </c>
      <c r="H168" s="14" t="str">
        <f>VLOOKUP(flu_group[[#This Row],[trust_code]],trust_lookup[],3,0)</f>
        <v>Royal Free</v>
      </c>
      <c r="I168" s="14" t="str">
        <f>VLOOKUP(flu_group[[#This Row],[trust_code]],trust_lookup[],4,0)</f>
        <v>Acute</v>
      </c>
      <c r="K168" s="2" t="s">
        <v>518</v>
      </c>
      <c r="L168" s="2" t="s">
        <v>37</v>
      </c>
      <c r="M168" s="2" t="s">
        <v>38</v>
      </c>
      <c r="N168" s="2" t="s">
        <v>190</v>
      </c>
      <c r="O168" s="2" t="s">
        <v>75</v>
      </c>
      <c r="P168" s="2">
        <v>199</v>
      </c>
      <c r="R168" s="43">
        <v>45719</v>
      </c>
      <c r="S168" s="2">
        <v>10</v>
      </c>
      <c r="T168" s="2" t="s">
        <v>519</v>
      </c>
      <c r="U168" s="2" t="s">
        <v>62</v>
      </c>
      <c r="V168" s="2" t="s">
        <v>63</v>
      </c>
      <c r="W168" s="2" t="s">
        <v>194</v>
      </c>
      <c r="X168" s="23">
        <v>3</v>
      </c>
      <c r="Y168" s="23">
        <v>1301</v>
      </c>
      <c r="Z168" s="23">
        <v>3343</v>
      </c>
      <c r="AA168" s="24">
        <v>0.38917140293149799</v>
      </c>
      <c r="AB168" s="14" t="str">
        <f>VLOOKUP(flu_aw24[[#This Row],[trust_code]],trust_lookup[],3,0)</f>
        <v>Croydon</v>
      </c>
      <c r="AD168" s="43">
        <v>45922</v>
      </c>
      <c r="AE168" s="2">
        <v>39</v>
      </c>
      <c r="AF168" s="2" t="s">
        <v>518</v>
      </c>
      <c r="AG168" s="2" t="s">
        <v>147</v>
      </c>
      <c r="AH168" s="2" t="s">
        <v>148</v>
      </c>
      <c r="AI168" s="2" t="s">
        <v>27</v>
      </c>
      <c r="AJ168" s="23">
        <v>2</v>
      </c>
      <c r="AK168" s="23">
        <v>7</v>
      </c>
      <c r="AL168" s="23">
        <v>5165</v>
      </c>
      <c r="AM168" s="24">
        <v>1.35527589545014E-3</v>
      </c>
      <c r="AN168" s="44" t="str">
        <f>VLOOKUP(flu_aw25[[#This Row],[trust_code]],trust_lookup[],3,0)</f>
        <v>North London</v>
      </c>
      <c r="AW168" s="2" t="s">
        <v>130</v>
      </c>
      <c r="AX168" s="2" t="s">
        <v>131</v>
      </c>
      <c r="AY168" s="2" t="s">
        <v>653</v>
      </c>
      <c r="AZ168" s="2">
        <v>636</v>
      </c>
      <c r="BA168" s="2">
        <v>248</v>
      </c>
      <c r="BB168" s="44" t="str">
        <f>VLOOKUP(age_group[[#This Row],[trust_code]],trust_lookup[],3,0)</f>
        <v>LNW</v>
      </c>
    </row>
    <row r="169" spans="1:54" x14ac:dyDescent="0.35">
      <c r="A169" s="2" t="s">
        <v>518</v>
      </c>
      <c r="B169" s="2" t="s">
        <v>161</v>
      </c>
      <c r="C169" s="2" t="s">
        <v>162</v>
      </c>
      <c r="D169" s="2" t="s">
        <v>27</v>
      </c>
      <c r="E169" s="2" t="s">
        <v>74</v>
      </c>
      <c r="F169" s="2">
        <v>16</v>
      </c>
      <c r="G169" s="2">
        <v>10</v>
      </c>
      <c r="H169" s="14" t="str">
        <f>VLOOKUP(flu_group[[#This Row],[trust_code]],trust_lookup[],3,0)</f>
        <v>RNOH</v>
      </c>
      <c r="I169" s="14" t="str">
        <f>VLOOKUP(flu_group[[#This Row],[trust_code]],trust_lookup[],4,0)</f>
        <v>Specialist</v>
      </c>
      <c r="K169" s="2" t="s">
        <v>518</v>
      </c>
      <c r="L169" s="2" t="s">
        <v>37</v>
      </c>
      <c r="M169" s="2" t="s">
        <v>38</v>
      </c>
      <c r="N169" s="2" t="s">
        <v>190</v>
      </c>
      <c r="O169" s="2" t="s">
        <v>106</v>
      </c>
      <c r="P169" s="2">
        <v>138</v>
      </c>
      <c r="R169" s="43">
        <v>45726</v>
      </c>
      <c r="S169" s="2">
        <v>11</v>
      </c>
      <c r="T169" s="2" t="s">
        <v>519</v>
      </c>
      <c r="U169" s="2" t="s">
        <v>62</v>
      </c>
      <c r="V169" s="2" t="s">
        <v>63</v>
      </c>
      <c r="W169" s="2" t="s">
        <v>194</v>
      </c>
      <c r="X169" s="23">
        <v>1</v>
      </c>
      <c r="Y169" s="23">
        <v>1302</v>
      </c>
      <c r="Z169" s="23">
        <v>3343</v>
      </c>
      <c r="AA169" s="24">
        <v>0.389470535447203</v>
      </c>
      <c r="AB169" s="14" t="str">
        <f>VLOOKUP(flu_aw24[[#This Row],[trust_code]],trust_lookup[],3,0)</f>
        <v>Croydon</v>
      </c>
      <c r="AD169" s="43">
        <v>45929</v>
      </c>
      <c r="AE169" s="2">
        <v>40</v>
      </c>
      <c r="AF169" s="2" t="s">
        <v>518</v>
      </c>
      <c r="AG169" s="2" t="s">
        <v>147</v>
      </c>
      <c r="AH169" s="2" t="s">
        <v>148</v>
      </c>
      <c r="AI169" s="2" t="s">
        <v>27</v>
      </c>
      <c r="AJ169" s="23">
        <v>208</v>
      </c>
      <c r="AK169" s="23">
        <v>215</v>
      </c>
      <c r="AL169" s="23">
        <v>5165</v>
      </c>
      <c r="AM169" s="24">
        <v>4.1626331074540099E-2</v>
      </c>
      <c r="AN169" s="44" t="str">
        <f>VLOOKUP(flu_aw25[[#This Row],[trust_code]],trust_lookup[],3,0)</f>
        <v>North London</v>
      </c>
      <c r="AW169" s="2" t="s">
        <v>130</v>
      </c>
      <c r="AX169" s="2" t="s">
        <v>131</v>
      </c>
      <c r="AY169" s="2" t="s">
        <v>654</v>
      </c>
      <c r="AZ169" s="2">
        <v>459</v>
      </c>
      <c r="BA169" s="2">
        <v>176</v>
      </c>
      <c r="BB169" s="44" t="str">
        <f>VLOOKUP(age_group[[#This Row],[trust_code]],trust_lookup[],3,0)</f>
        <v>LNW</v>
      </c>
    </row>
    <row r="170" spans="1:54" x14ac:dyDescent="0.35">
      <c r="A170" s="2" t="s">
        <v>518</v>
      </c>
      <c r="B170" s="2" t="s">
        <v>130</v>
      </c>
      <c r="C170" s="2" t="s">
        <v>131</v>
      </c>
      <c r="D170" s="2" t="s">
        <v>192</v>
      </c>
      <c r="E170" s="2" t="s">
        <v>74</v>
      </c>
      <c r="F170" s="2">
        <v>47</v>
      </c>
      <c r="G170" s="2">
        <v>18</v>
      </c>
      <c r="H170" s="14" t="str">
        <f>VLOOKUP(flu_group[[#This Row],[trust_code]],trust_lookup[],3,0)</f>
        <v>LNW</v>
      </c>
      <c r="I170" s="14" t="str">
        <f>VLOOKUP(flu_group[[#This Row],[trust_code]],trust_lookup[],4,0)</f>
        <v>Acute</v>
      </c>
      <c r="K170" s="2" t="s">
        <v>518</v>
      </c>
      <c r="L170" s="2" t="s">
        <v>37</v>
      </c>
      <c r="M170" s="2" t="s">
        <v>38</v>
      </c>
      <c r="N170" s="2" t="s">
        <v>190</v>
      </c>
      <c r="O170" s="2" t="s">
        <v>112</v>
      </c>
      <c r="P170" s="2">
        <v>542</v>
      </c>
      <c r="R170" s="43">
        <v>45733</v>
      </c>
      <c r="S170" s="2">
        <v>12</v>
      </c>
      <c r="T170" s="2" t="s">
        <v>519</v>
      </c>
      <c r="U170" s="2" t="s">
        <v>62</v>
      </c>
      <c r="V170" s="2" t="s">
        <v>63</v>
      </c>
      <c r="W170" s="2" t="s">
        <v>194</v>
      </c>
      <c r="X170" s="23">
        <v>1</v>
      </c>
      <c r="Y170" s="23">
        <v>1303</v>
      </c>
      <c r="Z170" s="23">
        <v>3343</v>
      </c>
      <c r="AA170" s="24">
        <v>0.38976966796290702</v>
      </c>
      <c r="AB170" s="14" t="str">
        <f>VLOOKUP(flu_aw24[[#This Row],[trust_code]],trust_lookup[],3,0)</f>
        <v>Croydon</v>
      </c>
      <c r="AD170" s="43">
        <v>45936</v>
      </c>
      <c r="AE170" s="2">
        <v>41</v>
      </c>
      <c r="AF170" s="2" t="s">
        <v>518</v>
      </c>
      <c r="AG170" s="2" t="s">
        <v>147</v>
      </c>
      <c r="AH170" s="2" t="s">
        <v>148</v>
      </c>
      <c r="AI170" s="2" t="s">
        <v>27</v>
      </c>
      <c r="AJ170" s="23">
        <v>254</v>
      </c>
      <c r="AK170" s="23">
        <v>469</v>
      </c>
      <c r="AL170" s="23">
        <v>5165</v>
      </c>
      <c r="AM170" s="24">
        <v>9.0803484995159695E-2</v>
      </c>
      <c r="AN170" s="44" t="str">
        <f>VLOOKUP(flu_aw25[[#This Row],[trust_code]],trust_lookup[],3,0)</f>
        <v>North London</v>
      </c>
      <c r="AW170" s="2" t="s">
        <v>130</v>
      </c>
      <c r="AX170" s="2" t="s">
        <v>131</v>
      </c>
      <c r="AY170" s="2" t="s">
        <v>655</v>
      </c>
      <c r="AZ170" s="2">
        <v>448</v>
      </c>
      <c r="BA170" s="2">
        <v>184</v>
      </c>
      <c r="BB170" s="44" t="str">
        <f>VLOOKUP(age_group[[#This Row],[trust_code]],trust_lookup[],3,0)</f>
        <v>LNW</v>
      </c>
    </row>
    <row r="171" spans="1:54" x14ac:dyDescent="0.35">
      <c r="A171" s="2" t="s">
        <v>518</v>
      </c>
      <c r="B171" s="2" t="s">
        <v>176</v>
      </c>
      <c r="C171" s="2" t="s">
        <v>177</v>
      </c>
      <c r="D171" s="2" t="s">
        <v>192</v>
      </c>
      <c r="E171" s="2" t="s">
        <v>74</v>
      </c>
      <c r="F171" s="2">
        <v>30</v>
      </c>
      <c r="G171" s="2">
        <v>12</v>
      </c>
      <c r="H171" s="14" t="str">
        <f>VLOOKUP(flu_group[[#This Row],[trust_code]],trust_lookup[],3,0)</f>
        <v>Hillingdon</v>
      </c>
      <c r="I171" s="14" t="str">
        <f>VLOOKUP(flu_group[[#This Row],[trust_code]],trust_lookup[],4,0)</f>
        <v>Acute</v>
      </c>
      <c r="K171" s="2" t="s">
        <v>518</v>
      </c>
      <c r="L171" s="2" t="s">
        <v>37</v>
      </c>
      <c r="M171" s="2" t="s">
        <v>38</v>
      </c>
      <c r="N171" s="2" t="s">
        <v>190</v>
      </c>
      <c r="O171" s="2" t="s">
        <v>36</v>
      </c>
      <c r="P171" s="2">
        <v>398</v>
      </c>
      <c r="R171" s="43">
        <v>45740</v>
      </c>
      <c r="S171" s="2">
        <v>13</v>
      </c>
      <c r="T171" s="2" t="s">
        <v>519</v>
      </c>
      <c r="U171" s="2" t="s">
        <v>62</v>
      </c>
      <c r="V171" s="2" t="s">
        <v>63</v>
      </c>
      <c r="W171" s="2" t="s">
        <v>194</v>
      </c>
      <c r="X171" s="23">
        <v>1</v>
      </c>
      <c r="Y171" s="23">
        <v>1304</v>
      </c>
      <c r="Z171" s="23">
        <v>3343</v>
      </c>
      <c r="AA171" s="24">
        <v>0.39006880047861198</v>
      </c>
      <c r="AB171" s="14" t="str">
        <f>VLOOKUP(flu_aw24[[#This Row],[trust_code]],trust_lookup[],3,0)</f>
        <v>Croydon</v>
      </c>
      <c r="AD171" s="43">
        <v>45943</v>
      </c>
      <c r="AE171" s="2">
        <v>42</v>
      </c>
      <c r="AF171" s="2" t="s">
        <v>518</v>
      </c>
      <c r="AG171" s="2" t="s">
        <v>147</v>
      </c>
      <c r="AH171" s="2" t="s">
        <v>148</v>
      </c>
      <c r="AI171" s="2" t="s">
        <v>27</v>
      </c>
      <c r="AJ171" s="23">
        <v>209</v>
      </c>
      <c r="AK171" s="23">
        <v>678</v>
      </c>
      <c r="AL171" s="23">
        <v>5165</v>
      </c>
      <c r="AM171" s="24">
        <v>0.131268151016456</v>
      </c>
      <c r="AN171" s="44" t="str">
        <f>VLOOKUP(flu_aw25[[#This Row],[trust_code]],trust_lookup[],3,0)</f>
        <v>North London</v>
      </c>
      <c r="AW171" s="2" t="s">
        <v>130</v>
      </c>
      <c r="AX171" s="2" t="s">
        <v>131</v>
      </c>
      <c r="AY171" s="2" t="s">
        <v>656</v>
      </c>
      <c r="AZ171" s="2">
        <v>493</v>
      </c>
      <c r="BA171" s="2">
        <v>227</v>
      </c>
      <c r="BB171" s="44" t="str">
        <f>VLOOKUP(age_group[[#This Row],[trust_code]],trust_lookup[],3,0)</f>
        <v>LNW</v>
      </c>
    </row>
    <row r="172" spans="1:54" x14ac:dyDescent="0.35">
      <c r="A172" s="2" t="s">
        <v>518</v>
      </c>
      <c r="B172" s="2" t="s">
        <v>136</v>
      </c>
      <c r="C172" s="2" t="s">
        <v>137</v>
      </c>
      <c r="D172" s="2" t="s">
        <v>27</v>
      </c>
      <c r="E172" s="2" t="s">
        <v>74</v>
      </c>
      <c r="F172" s="2">
        <v>57</v>
      </c>
      <c r="G172" s="2">
        <v>25</v>
      </c>
      <c r="H172" s="14" t="str">
        <f>VLOOKUP(flu_group[[#This Row],[trust_code]],trust_lookup[],3,0)</f>
        <v>Moorfields</v>
      </c>
      <c r="I172" s="14" t="str">
        <f>VLOOKUP(flu_group[[#This Row],[trust_code]],trust_lookup[],4,0)</f>
        <v>Specialist</v>
      </c>
      <c r="K172" s="2" t="s">
        <v>518</v>
      </c>
      <c r="L172" s="2" t="s">
        <v>69</v>
      </c>
      <c r="M172" s="2" t="s">
        <v>70</v>
      </c>
      <c r="N172" s="2" t="s">
        <v>190</v>
      </c>
      <c r="O172" s="2" t="s">
        <v>68</v>
      </c>
      <c r="P172" s="2">
        <v>929</v>
      </c>
      <c r="R172" s="43">
        <v>45544</v>
      </c>
      <c r="S172" s="2">
        <v>37</v>
      </c>
      <c r="T172" s="2" t="s">
        <v>519</v>
      </c>
      <c r="U172" s="2" t="s">
        <v>69</v>
      </c>
      <c r="V172" s="2" t="s">
        <v>70</v>
      </c>
      <c r="W172" s="2" t="s">
        <v>190</v>
      </c>
      <c r="X172" s="23">
        <v>1</v>
      </c>
      <c r="Y172" s="23">
        <v>1</v>
      </c>
      <c r="Z172" s="23">
        <v>7143</v>
      </c>
      <c r="AA172" s="24">
        <v>1.3999720005599799E-4</v>
      </c>
      <c r="AB172" s="14" t="str">
        <f>VLOOKUP(flu_aw24[[#This Row],[trust_code]],trust_lookup[],3,0)</f>
        <v>ELFT</v>
      </c>
      <c r="AD172" s="43">
        <v>45950</v>
      </c>
      <c r="AE172" s="2">
        <v>43</v>
      </c>
      <c r="AF172" s="2" t="s">
        <v>518</v>
      </c>
      <c r="AG172" s="2" t="s">
        <v>147</v>
      </c>
      <c r="AH172" s="2" t="s">
        <v>148</v>
      </c>
      <c r="AI172" s="2" t="s">
        <v>27</v>
      </c>
      <c r="AJ172" s="23">
        <v>159</v>
      </c>
      <c r="AK172" s="23">
        <v>837</v>
      </c>
      <c r="AL172" s="23">
        <v>5165</v>
      </c>
      <c r="AM172" s="24">
        <v>0.16205227492739499</v>
      </c>
      <c r="AN172" s="44" t="str">
        <f>VLOOKUP(flu_aw25[[#This Row],[trust_code]],trust_lookup[],3,0)</f>
        <v>North London</v>
      </c>
      <c r="AW172" s="2" t="s">
        <v>130</v>
      </c>
      <c r="AX172" s="2" t="s">
        <v>131</v>
      </c>
      <c r="AY172" s="2" t="s">
        <v>657</v>
      </c>
      <c r="AZ172" s="2">
        <v>395</v>
      </c>
      <c r="BA172" s="2">
        <v>176</v>
      </c>
      <c r="BB172" s="44" t="str">
        <f>VLOOKUP(age_group[[#This Row],[trust_code]],trust_lookup[],3,0)</f>
        <v>LNW</v>
      </c>
    </row>
    <row r="173" spans="1:54" x14ac:dyDescent="0.35">
      <c r="A173" s="2" t="s">
        <v>518</v>
      </c>
      <c r="B173" s="2" t="s">
        <v>185</v>
      </c>
      <c r="C173" s="2" t="s">
        <v>186</v>
      </c>
      <c r="D173" s="2" t="s">
        <v>27</v>
      </c>
      <c r="E173" s="2" t="s">
        <v>74</v>
      </c>
      <c r="F173" s="2">
        <v>43</v>
      </c>
      <c r="G173" s="2">
        <v>14</v>
      </c>
      <c r="H173" s="14" t="str">
        <f>VLOOKUP(flu_group[[#This Row],[trust_code]],trust_lookup[],3,0)</f>
        <v>Whittington</v>
      </c>
      <c r="I173" s="14" t="str">
        <f>VLOOKUP(flu_group[[#This Row],[trust_code]],trust_lookup[],4,0)</f>
        <v>Acute &amp; Community</v>
      </c>
      <c r="K173" s="2" t="s">
        <v>518</v>
      </c>
      <c r="L173" s="2" t="s">
        <v>69</v>
      </c>
      <c r="M173" s="2" t="s">
        <v>70</v>
      </c>
      <c r="N173" s="2" t="s">
        <v>190</v>
      </c>
      <c r="O173" s="2" t="s">
        <v>135</v>
      </c>
      <c r="P173" s="2">
        <v>33</v>
      </c>
      <c r="R173" s="43">
        <v>45551</v>
      </c>
      <c r="S173" s="2">
        <v>38</v>
      </c>
      <c r="T173" s="2" t="s">
        <v>519</v>
      </c>
      <c r="U173" s="2" t="s">
        <v>69</v>
      </c>
      <c r="V173" s="2" t="s">
        <v>70</v>
      </c>
      <c r="W173" s="2" t="s">
        <v>190</v>
      </c>
      <c r="X173" s="23">
        <v>6</v>
      </c>
      <c r="Y173" s="23">
        <v>7</v>
      </c>
      <c r="Z173" s="23">
        <v>7143</v>
      </c>
      <c r="AA173" s="24">
        <v>9.79980400391992E-4</v>
      </c>
      <c r="AB173" s="14" t="str">
        <f>VLOOKUP(flu_aw24[[#This Row],[trust_code]],trust_lookup[],3,0)</f>
        <v>ELFT</v>
      </c>
      <c r="AD173" s="43">
        <v>45957</v>
      </c>
      <c r="AE173" s="2">
        <v>44</v>
      </c>
      <c r="AF173" s="2" t="s">
        <v>518</v>
      </c>
      <c r="AG173" s="2" t="s">
        <v>147</v>
      </c>
      <c r="AH173" s="2" t="s">
        <v>148</v>
      </c>
      <c r="AI173" s="2" t="s">
        <v>27</v>
      </c>
      <c r="AJ173" s="23">
        <v>110</v>
      </c>
      <c r="AK173" s="23">
        <v>947</v>
      </c>
      <c r="AL173" s="23">
        <v>5165</v>
      </c>
      <c r="AM173" s="24">
        <v>0.183349467570183</v>
      </c>
      <c r="AN173" s="44" t="str">
        <f>VLOOKUP(flu_aw25[[#This Row],[trust_code]],trust_lookup[],3,0)</f>
        <v>North London</v>
      </c>
      <c r="AW173" s="2" t="s">
        <v>130</v>
      </c>
      <c r="AX173" s="2" t="s">
        <v>131</v>
      </c>
      <c r="AY173" s="2" t="s">
        <v>658</v>
      </c>
      <c r="AZ173" s="2">
        <v>283</v>
      </c>
      <c r="BA173" s="2">
        <v>163</v>
      </c>
      <c r="BB173" s="44" t="str">
        <f>VLOOKUP(age_group[[#This Row],[trust_code]],trust_lookup[],3,0)</f>
        <v>LNW</v>
      </c>
    </row>
    <row r="174" spans="1:54" x14ac:dyDescent="0.35">
      <c r="A174" s="2" t="s">
        <v>518</v>
      </c>
      <c r="B174" s="2" t="s">
        <v>62</v>
      </c>
      <c r="C174" s="2" t="s">
        <v>63</v>
      </c>
      <c r="D174" s="2" t="s">
        <v>194</v>
      </c>
      <c r="E174" s="2" t="s">
        <v>74</v>
      </c>
      <c r="F174" s="2">
        <v>43</v>
      </c>
      <c r="G174" s="2">
        <v>15</v>
      </c>
      <c r="H174" s="14" t="str">
        <f>VLOOKUP(flu_group[[#This Row],[trust_code]],trust_lookup[],3,0)</f>
        <v>Croydon</v>
      </c>
      <c r="I174" s="14" t="str">
        <f>VLOOKUP(flu_group[[#This Row],[trust_code]],trust_lookup[],4,0)</f>
        <v>Acute &amp; Community</v>
      </c>
      <c r="K174" s="2" t="s">
        <v>518</v>
      </c>
      <c r="L174" s="2" t="s">
        <v>69</v>
      </c>
      <c r="M174" s="2" t="s">
        <v>70</v>
      </c>
      <c r="N174" s="2" t="s">
        <v>190</v>
      </c>
      <c r="O174" s="2" t="s">
        <v>54</v>
      </c>
      <c r="P174" s="2">
        <v>200</v>
      </c>
      <c r="R174" s="43">
        <v>45558</v>
      </c>
      <c r="S174" s="2">
        <v>39</v>
      </c>
      <c r="T174" s="2" t="s">
        <v>519</v>
      </c>
      <c r="U174" s="2" t="s">
        <v>69</v>
      </c>
      <c r="V174" s="2" t="s">
        <v>70</v>
      </c>
      <c r="W174" s="2" t="s">
        <v>190</v>
      </c>
      <c r="X174" s="23">
        <v>8</v>
      </c>
      <c r="Y174" s="23">
        <v>15</v>
      </c>
      <c r="Z174" s="23">
        <v>7143</v>
      </c>
      <c r="AA174" s="24">
        <v>2.0999580008399799E-3</v>
      </c>
      <c r="AB174" s="14" t="str">
        <f>VLOOKUP(flu_aw24[[#This Row],[trust_code]],trust_lookup[],3,0)</f>
        <v>ELFT</v>
      </c>
      <c r="AD174" s="43">
        <v>45964</v>
      </c>
      <c r="AE174" s="2">
        <v>45</v>
      </c>
      <c r="AF174" s="2" t="s">
        <v>518</v>
      </c>
      <c r="AG174" s="2" t="s">
        <v>147</v>
      </c>
      <c r="AH174" s="2" t="s">
        <v>148</v>
      </c>
      <c r="AI174" s="2" t="s">
        <v>27</v>
      </c>
      <c r="AJ174" s="23">
        <v>142</v>
      </c>
      <c r="AK174" s="23">
        <v>1089</v>
      </c>
      <c r="AL174" s="23">
        <v>5165</v>
      </c>
      <c r="AM174" s="24">
        <v>0.210842207163601</v>
      </c>
      <c r="AN174" s="44" t="str">
        <f>VLOOKUP(flu_aw25[[#This Row],[trust_code]],trust_lookup[],3,0)</f>
        <v>North London</v>
      </c>
      <c r="AW174" s="2" t="s">
        <v>130</v>
      </c>
      <c r="AX174" s="2" t="s">
        <v>131</v>
      </c>
      <c r="AY174" s="2" t="s">
        <v>659</v>
      </c>
      <c r="AZ174" s="2">
        <v>224</v>
      </c>
      <c r="BA174" s="2">
        <v>131</v>
      </c>
      <c r="BB174" s="44" t="str">
        <f>VLOOKUP(age_group[[#This Row],[trust_code]],trust_lookup[],3,0)</f>
        <v>LNW</v>
      </c>
    </row>
    <row r="175" spans="1:54" x14ac:dyDescent="0.35">
      <c r="A175" s="2" t="s">
        <v>518</v>
      </c>
      <c r="B175" s="2" t="s">
        <v>25</v>
      </c>
      <c r="C175" s="2" t="s">
        <v>26</v>
      </c>
      <c r="D175" s="2" t="s">
        <v>192</v>
      </c>
      <c r="E175" s="2" t="s">
        <v>74</v>
      </c>
      <c r="F175" s="2">
        <v>5</v>
      </c>
      <c r="G175" s="2">
        <v>2</v>
      </c>
      <c r="H175" s="14" t="str">
        <f>VLOOKUP(flu_group[[#This Row],[trust_code]],trust_lookup[],3,0)</f>
        <v>CNWL</v>
      </c>
      <c r="I175" s="14" t="str">
        <f>VLOOKUP(flu_group[[#This Row],[trust_code]],trust_lookup[],4,0)</f>
        <v>Mental Health &amp; Community</v>
      </c>
      <c r="K175" s="2" t="s">
        <v>518</v>
      </c>
      <c r="L175" s="2" t="s">
        <v>69</v>
      </c>
      <c r="M175" s="2" t="s">
        <v>70</v>
      </c>
      <c r="N175" s="2" t="s">
        <v>190</v>
      </c>
      <c r="O175" s="2" t="s">
        <v>129</v>
      </c>
      <c r="P175" s="2">
        <v>11</v>
      </c>
      <c r="R175" s="43">
        <v>45565</v>
      </c>
      <c r="S175" s="2">
        <v>40</v>
      </c>
      <c r="T175" s="2" t="s">
        <v>519</v>
      </c>
      <c r="U175" s="2" t="s">
        <v>69</v>
      </c>
      <c r="V175" s="2" t="s">
        <v>70</v>
      </c>
      <c r="W175" s="2" t="s">
        <v>190</v>
      </c>
      <c r="X175" s="23">
        <v>134</v>
      </c>
      <c r="Y175" s="23">
        <v>149</v>
      </c>
      <c r="Z175" s="23">
        <v>7143</v>
      </c>
      <c r="AA175" s="24">
        <v>2.08595828083438E-2</v>
      </c>
      <c r="AB175" s="14" t="str">
        <f>VLOOKUP(flu_aw24[[#This Row],[trust_code]],trust_lookup[],3,0)</f>
        <v>ELFT</v>
      </c>
      <c r="AD175" s="43">
        <v>45971</v>
      </c>
      <c r="AE175" s="2">
        <v>46</v>
      </c>
      <c r="AF175" s="2" t="s">
        <v>518</v>
      </c>
      <c r="AG175" s="2" t="s">
        <v>147</v>
      </c>
      <c r="AH175" s="2" t="s">
        <v>148</v>
      </c>
      <c r="AI175" s="2" t="s">
        <v>27</v>
      </c>
      <c r="AJ175" s="23">
        <v>105</v>
      </c>
      <c r="AK175" s="23">
        <v>1194</v>
      </c>
      <c r="AL175" s="23">
        <v>5165</v>
      </c>
      <c r="AM175" s="24">
        <v>0.23117134559535299</v>
      </c>
      <c r="AN175" s="44" t="str">
        <f>VLOOKUP(flu_aw25[[#This Row],[trust_code]],trust_lookup[],3,0)</f>
        <v>North London</v>
      </c>
      <c r="AW175" s="2" t="s">
        <v>136</v>
      </c>
      <c r="AX175" s="2" t="s">
        <v>137</v>
      </c>
      <c r="AY175" s="2" t="s">
        <v>650</v>
      </c>
      <c r="AZ175" s="2">
        <v>49</v>
      </c>
      <c r="BA175" s="2">
        <v>11</v>
      </c>
      <c r="BB175" s="44" t="str">
        <f>VLOOKUP(age_group[[#This Row],[trust_code]],trust_lookup[],3,0)</f>
        <v>Moorfields</v>
      </c>
    </row>
    <row r="176" spans="1:54" x14ac:dyDescent="0.35">
      <c r="A176" s="2" t="s">
        <v>518</v>
      </c>
      <c r="B176" s="2" t="s">
        <v>187</v>
      </c>
      <c r="C176" s="2" t="s">
        <v>188</v>
      </c>
      <c r="D176" s="2" t="s">
        <v>192</v>
      </c>
      <c r="E176" s="2" t="s">
        <v>74</v>
      </c>
      <c r="F176" s="2">
        <v>6</v>
      </c>
      <c r="G176" s="2">
        <v>1</v>
      </c>
      <c r="H176" s="14" t="str">
        <f>VLOOKUP(flu_group[[#This Row],[trust_code]],trust_lookup[],3,0)</f>
        <v>West London</v>
      </c>
      <c r="I176" s="14" t="str">
        <f>VLOOKUP(flu_group[[#This Row],[trust_code]],trust_lookup[],4,0)</f>
        <v>Mental Health &amp; Community</v>
      </c>
      <c r="K176" s="2" t="s">
        <v>518</v>
      </c>
      <c r="L176" s="2" t="s">
        <v>69</v>
      </c>
      <c r="M176" s="2" t="s">
        <v>70</v>
      </c>
      <c r="N176" s="2" t="s">
        <v>190</v>
      </c>
      <c r="O176" s="2" t="s">
        <v>47</v>
      </c>
      <c r="P176" s="2">
        <v>16</v>
      </c>
      <c r="R176" s="43">
        <v>45572</v>
      </c>
      <c r="S176" s="2">
        <v>41</v>
      </c>
      <c r="T176" s="2" t="s">
        <v>519</v>
      </c>
      <c r="U176" s="2" t="s">
        <v>69</v>
      </c>
      <c r="V176" s="2" t="s">
        <v>70</v>
      </c>
      <c r="W176" s="2" t="s">
        <v>190</v>
      </c>
      <c r="X176" s="23">
        <v>295</v>
      </c>
      <c r="Y176" s="23">
        <v>444</v>
      </c>
      <c r="Z176" s="23">
        <v>7143</v>
      </c>
      <c r="AA176" s="24">
        <v>6.2158756824863499E-2</v>
      </c>
      <c r="AB176" s="14" t="str">
        <f>VLOOKUP(flu_aw24[[#This Row],[trust_code]],trust_lookup[],3,0)</f>
        <v>ELFT</v>
      </c>
      <c r="AD176" s="43">
        <v>45978</v>
      </c>
      <c r="AE176" s="2">
        <v>47</v>
      </c>
      <c r="AF176" s="2" t="s">
        <v>518</v>
      </c>
      <c r="AG176" s="2" t="s">
        <v>147</v>
      </c>
      <c r="AH176" s="2" t="s">
        <v>148</v>
      </c>
      <c r="AI176" s="2" t="s">
        <v>27</v>
      </c>
      <c r="AJ176" s="23">
        <v>81</v>
      </c>
      <c r="AK176" s="23">
        <v>1275</v>
      </c>
      <c r="AL176" s="23">
        <v>5165</v>
      </c>
      <c r="AM176" s="24">
        <v>0.24685382381413301</v>
      </c>
      <c r="AN176" s="44" t="str">
        <f>VLOOKUP(flu_aw25[[#This Row],[trust_code]],trust_lookup[],3,0)</f>
        <v>North London</v>
      </c>
      <c r="AW176" s="2" t="s">
        <v>136</v>
      </c>
      <c r="AX176" s="2" t="s">
        <v>137</v>
      </c>
      <c r="AY176" s="2" t="s">
        <v>651</v>
      </c>
      <c r="AZ176" s="2">
        <v>169</v>
      </c>
      <c r="BA176" s="2">
        <v>66</v>
      </c>
      <c r="BB176" s="44" t="str">
        <f>VLOOKUP(age_group[[#This Row],[trust_code]],trust_lookup[],3,0)</f>
        <v>Moorfields</v>
      </c>
    </row>
    <row r="177" spans="1:54" x14ac:dyDescent="0.35">
      <c r="A177" s="2" t="s">
        <v>518</v>
      </c>
      <c r="B177" s="2" t="s">
        <v>164</v>
      </c>
      <c r="C177" s="2" t="s">
        <v>165</v>
      </c>
      <c r="D177" s="2" t="s">
        <v>193</v>
      </c>
      <c r="E177" s="2" t="s">
        <v>74</v>
      </c>
      <c r="F177" s="2">
        <v>5</v>
      </c>
      <c r="G177" s="2">
        <v>2</v>
      </c>
      <c r="H177" s="14" t="str">
        <f>VLOOKUP(flu_group[[#This Row],[trust_code]],trust_lookup[],3,0)</f>
        <v>SLAM</v>
      </c>
      <c r="I177" s="14" t="str">
        <f>VLOOKUP(flu_group[[#This Row],[trust_code]],trust_lookup[],4,0)</f>
        <v>Mental Health</v>
      </c>
      <c r="K177" s="2" t="s">
        <v>518</v>
      </c>
      <c r="L177" s="2" t="s">
        <v>69</v>
      </c>
      <c r="M177" s="2" t="s">
        <v>70</v>
      </c>
      <c r="N177" s="2" t="s">
        <v>190</v>
      </c>
      <c r="O177" s="2" t="s">
        <v>94</v>
      </c>
      <c r="P177" s="2">
        <v>15</v>
      </c>
      <c r="R177" s="43">
        <v>45579</v>
      </c>
      <c r="S177" s="2">
        <v>42</v>
      </c>
      <c r="T177" s="2" t="s">
        <v>519</v>
      </c>
      <c r="U177" s="2" t="s">
        <v>69</v>
      </c>
      <c r="V177" s="2" t="s">
        <v>70</v>
      </c>
      <c r="W177" s="2" t="s">
        <v>190</v>
      </c>
      <c r="X177" s="23">
        <v>314</v>
      </c>
      <c r="Y177" s="23">
        <v>758</v>
      </c>
      <c r="Z177" s="23">
        <v>7143</v>
      </c>
      <c r="AA177" s="24">
        <v>0.106117877642447</v>
      </c>
      <c r="AB177" s="14" t="str">
        <f>VLOOKUP(flu_aw24[[#This Row],[trust_code]],trust_lookup[],3,0)</f>
        <v>ELFT</v>
      </c>
      <c r="AD177" s="43">
        <v>45985</v>
      </c>
      <c r="AE177" s="2">
        <v>48</v>
      </c>
      <c r="AF177" s="2" t="s">
        <v>518</v>
      </c>
      <c r="AG177" s="2" t="s">
        <v>147</v>
      </c>
      <c r="AH177" s="2" t="s">
        <v>148</v>
      </c>
      <c r="AI177" s="2" t="s">
        <v>27</v>
      </c>
      <c r="AJ177" s="23">
        <v>76</v>
      </c>
      <c r="AK177" s="23">
        <v>1351</v>
      </c>
      <c r="AL177" s="23">
        <v>5165</v>
      </c>
      <c r="AM177" s="24">
        <v>0.26156824782187799</v>
      </c>
      <c r="AN177" s="44" t="str">
        <f>VLOOKUP(flu_aw25[[#This Row],[trust_code]],trust_lookup[],3,0)</f>
        <v>North London</v>
      </c>
      <c r="AW177" s="2" t="s">
        <v>136</v>
      </c>
      <c r="AX177" s="2" t="s">
        <v>137</v>
      </c>
      <c r="AY177" s="2" t="s">
        <v>652</v>
      </c>
      <c r="AZ177" s="2">
        <v>250</v>
      </c>
      <c r="BA177" s="2">
        <v>108</v>
      </c>
      <c r="BB177" s="44" t="str">
        <f>VLOOKUP(age_group[[#This Row],[trust_code]],trust_lookup[],3,0)</f>
        <v>Moorfields</v>
      </c>
    </row>
    <row r="178" spans="1:54" x14ac:dyDescent="0.35">
      <c r="A178" s="2" t="s">
        <v>518</v>
      </c>
      <c r="B178" s="2" t="s">
        <v>55</v>
      </c>
      <c r="C178" s="2" t="s">
        <v>56</v>
      </c>
      <c r="D178" s="2" t="s">
        <v>192</v>
      </c>
      <c r="E178" s="2" t="s">
        <v>74</v>
      </c>
      <c r="F178" s="2">
        <v>22</v>
      </c>
      <c r="G178" s="2">
        <v>7</v>
      </c>
      <c r="H178" s="14" t="str">
        <f>VLOOKUP(flu_group[[#This Row],[trust_code]],trust_lookup[],3,0)</f>
        <v>ChelWest</v>
      </c>
      <c r="I178" s="14" t="str">
        <f>VLOOKUP(flu_group[[#This Row],[trust_code]],trust_lookup[],4,0)</f>
        <v>Acute</v>
      </c>
      <c r="K178" s="2" t="s">
        <v>518</v>
      </c>
      <c r="L178" s="2" t="s">
        <v>69</v>
      </c>
      <c r="M178" s="2" t="s">
        <v>70</v>
      </c>
      <c r="N178" s="2" t="s">
        <v>190</v>
      </c>
      <c r="O178" s="2" t="s">
        <v>29</v>
      </c>
      <c r="P178" s="2">
        <v>22</v>
      </c>
      <c r="R178" s="43">
        <v>45586</v>
      </c>
      <c r="S178" s="2">
        <v>43</v>
      </c>
      <c r="T178" s="2" t="s">
        <v>519</v>
      </c>
      <c r="U178" s="2" t="s">
        <v>69</v>
      </c>
      <c r="V178" s="2" t="s">
        <v>70</v>
      </c>
      <c r="W178" s="2" t="s">
        <v>190</v>
      </c>
      <c r="X178" s="23">
        <v>225</v>
      </c>
      <c r="Y178" s="23">
        <v>983</v>
      </c>
      <c r="Z178" s="23">
        <v>7143</v>
      </c>
      <c r="AA178" s="24">
        <v>0.13761724765504599</v>
      </c>
      <c r="AB178" s="14" t="str">
        <f>VLOOKUP(flu_aw24[[#This Row],[trust_code]],trust_lookup[],3,0)</f>
        <v>ELFT</v>
      </c>
      <c r="AD178" s="43">
        <v>45992</v>
      </c>
      <c r="AE178" s="2">
        <v>49</v>
      </c>
      <c r="AF178" s="2" t="s">
        <v>518</v>
      </c>
      <c r="AG178" s="2" t="s">
        <v>147</v>
      </c>
      <c r="AH178" s="2" t="s">
        <v>148</v>
      </c>
      <c r="AI178" s="2" t="s">
        <v>27</v>
      </c>
      <c r="AJ178" s="23">
        <v>45</v>
      </c>
      <c r="AK178" s="23">
        <v>1396</v>
      </c>
      <c r="AL178" s="23">
        <v>5165</v>
      </c>
      <c r="AM178" s="24">
        <v>0.27028073572119998</v>
      </c>
      <c r="AN178" s="44" t="str">
        <f>VLOOKUP(flu_aw25[[#This Row],[trust_code]],trust_lookup[],3,0)</f>
        <v>North London</v>
      </c>
      <c r="AW178" s="2" t="s">
        <v>136</v>
      </c>
      <c r="AX178" s="2" t="s">
        <v>137</v>
      </c>
      <c r="AY178" s="2" t="s">
        <v>653</v>
      </c>
      <c r="AZ178" s="2">
        <v>253</v>
      </c>
      <c r="BA178" s="2">
        <v>115</v>
      </c>
      <c r="BB178" s="44" t="str">
        <f>VLOOKUP(age_group[[#This Row],[trust_code]],trust_lookup[],3,0)</f>
        <v>Moorfields</v>
      </c>
    </row>
    <row r="179" spans="1:54" x14ac:dyDescent="0.35">
      <c r="A179" s="2" t="s">
        <v>518</v>
      </c>
      <c r="B179" s="2" t="s">
        <v>95</v>
      </c>
      <c r="C179" s="2" t="s">
        <v>96</v>
      </c>
      <c r="D179" s="2" t="s">
        <v>190</v>
      </c>
      <c r="E179" s="2" t="s">
        <v>74</v>
      </c>
      <c r="F179" s="2">
        <v>29</v>
      </c>
      <c r="G179" s="2">
        <v>6</v>
      </c>
      <c r="H179" s="14" t="str">
        <f>VLOOKUP(flu_group[[#This Row],[trust_code]],trust_lookup[],3,0)</f>
        <v>Homerton</v>
      </c>
      <c r="I179" s="14" t="str">
        <f>VLOOKUP(flu_group[[#This Row],[trust_code]],trust_lookup[],4,0)</f>
        <v>Acute</v>
      </c>
      <c r="K179" s="2" t="s">
        <v>518</v>
      </c>
      <c r="L179" s="2" t="s">
        <v>69</v>
      </c>
      <c r="M179" s="2" t="s">
        <v>70</v>
      </c>
      <c r="N179" s="2" t="s">
        <v>190</v>
      </c>
      <c r="O179" s="2" t="s">
        <v>123</v>
      </c>
      <c r="P179" s="2">
        <v>118</v>
      </c>
      <c r="R179" s="43">
        <v>45593</v>
      </c>
      <c r="S179" s="2">
        <v>44</v>
      </c>
      <c r="T179" s="2" t="s">
        <v>519</v>
      </c>
      <c r="U179" s="2" t="s">
        <v>69</v>
      </c>
      <c r="V179" s="2" t="s">
        <v>70</v>
      </c>
      <c r="W179" s="2" t="s">
        <v>190</v>
      </c>
      <c r="X179" s="23">
        <v>153</v>
      </c>
      <c r="Y179" s="23">
        <v>1136</v>
      </c>
      <c r="Z179" s="23">
        <v>7143</v>
      </c>
      <c r="AA179" s="24">
        <v>0.15903681926361399</v>
      </c>
      <c r="AB179" s="14" t="str">
        <f>VLOOKUP(flu_aw24[[#This Row],[trust_code]],trust_lookup[],3,0)</f>
        <v>ELFT</v>
      </c>
      <c r="AD179" s="43">
        <v>45999</v>
      </c>
      <c r="AE179" s="2">
        <v>50</v>
      </c>
      <c r="AF179" s="2" t="s">
        <v>518</v>
      </c>
      <c r="AG179" s="2" t="s">
        <v>147</v>
      </c>
      <c r="AH179" s="2" t="s">
        <v>148</v>
      </c>
      <c r="AI179" s="2" t="s">
        <v>27</v>
      </c>
      <c r="AJ179" s="23">
        <v>126</v>
      </c>
      <c r="AK179" s="23">
        <v>1522</v>
      </c>
      <c r="AL179" s="23">
        <v>5165</v>
      </c>
      <c r="AM179" s="24">
        <v>0.29467570183930297</v>
      </c>
      <c r="AN179" s="44" t="str">
        <f>VLOOKUP(flu_aw25[[#This Row],[trust_code]],trust_lookup[],3,0)</f>
        <v>North London</v>
      </c>
      <c r="AW179" s="2" t="s">
        <v>136</v>
      </c>
      <c r="AX179" s="2" t="s">
        <v>137</v>
      </c>
      <c r="AY179" s="2" t="s">
        <v>654</v>
      </c>
      <c r="AZ179" s="2">
        <v>230</v>
      </c>
      <c r="BA179" s="2">
        <v>107</v>
      </c>
      <c r="BB179" s="44" t="str">
        <f>VLOOKUP(age_group[[#This Row],[trust_code]],trust_lookup[],3,0)</f>
        <v>Moorfields</v>
      </c>
    </row>
    <row r="180" spans="1:54" x14ac:dyDescent="0.35">
      <c r="A180" s="2" t="s">
        <v>518</v>
      </c>
      <c r="B180" s="2" t="s">
        <v>142</v>
      </c>
      <c r="C180" s="2" t="s">
        <v>143</v>
      </c>
      <c r="D180" s="2" t="s">
        <v>190</v>
      </c>
      <c r="E180" s="2" t="s">
        <v>74</v>
      </c>
      <c r="F180" s="2">
        <v>3</v>
      </c>
      <c r="G180" s="2">
        <v>1</v>
      </c>
      <c r="H180" s="14" t="str">
        <f>VLOOKUP(flu_group[[#This Row],[trust_code]],trust_lookup[],3,0)</f>
        <v>NELFT</v>
      </c>
      <c r="I180" s="14" t="str">
        <f>VLOOKUP(flu_group[[#This Row],[trust_code]],trust_lookup[],4,0)</f>
        <v>Mental Health &amp; Community</v>
      </c>
      <c r="K180" s="2" t="s">
        <v>518</v>
      </c>
      <c r="L180" s="2" t="s">
        <v>69</v>
      </c>
      <c r="M180" s="2" t="s">
        <v>70</v>
      </c>
      <c r="N180" s="2" t="s">
        <v>190</v>
      </c>
      <c r="O180" s="2" t="s">
        <v>82</v>
      </c>
      <c r="P180" s="2">
        <v>28</v>
      </c>
      <c r="R180" s="43">
        <v>45600</v>
      </c>
      <c r="S180" s="2">
        <v>45</v>
      </c>
      <c r="T180" s="2" t="s">
        <v>519</v>
      </c>
      <c r="U180" s="2" t="s">
        <v>69</v>
      </c>
      <c r="V180" s="2" t="s">
        <v>70</v>
      </c>
      <c r="W180" s="2" t="s">
        <v>190</v>
      </c>
      <c r="X180" s="23">
        <v>137</v>
      </c>
      <c r="Y180" s="23">
        <v>1273</v>
      </c>
      <c r="Z180" s="23">
        <v>7143</v>
      </c>
      <c r="AA180" s="24">
        <v>0.17821643567128601</v>
      </c>
      <c r="AB180" s="14" t="str">
        <f>VLOOKUP(flu_aw24[[#This Row],[trust_code]],trust_lookup[],3,0)</f>
        <v>ELFT</v>
      </c>
      <c r="AD180" s="43">
        <v>46006</v>
      </c>
      <c r="AE180" s="2">
        <v>51</v>
      </c>
      <c r="AF180" s="2" t="s">
        <v>518</v>
      </c>
      <c r="AG180" s="2" t="s">
        <v>147</v>
      </c>
      <c r="AH180" s="2" t="s">
        <v>148</v>
      </c>
      <c r="AI180" s="2" t="s">
        <v>27</v>
      </c>
      <c r="AJ180" s="23">
        <v>73</v>
      </c>
      <c r="AK180" s="23">
        <v>1595</v>
      </c>
      <c r="AL180" s="23">
        <v>5165</v>
      </c>
      <c r="AM180" s="24">
        <v>0.308809293320425</v>
      </c>
      <c r="AN180" s="44" t="str">
        <f>VLOOKUP(flu_aw25[[#This Row],[trust_code]],trust_lookup[],3,0)</f>
        <v>North London</v>
      </c>
      <c r="AW180" s="2" t="s">
        <v>136</v>
      </c>
      <c r="AX180" s="2" t="s">
        <v>137</v>
      </c>
      <c r="AY180" s="2" t="s">
        <v>655</v>
      </c>
      <c r="AZ180" s="2">
        <v>225</v>
      </c>
      <c r="BA180" s="2">
        <v>114</v>
      </c>
      <c r="BB180" s="44" t="str">
        <f>VLOOKUP(age_group[[#This Row],[trust_code]],trust_lookup[],3,0)</f>
        <v>Moorfields</v>
      </c>
    </row>
    <row r="181" spans="1:54" x14ac:dyDescent="0.35">
      <c r="A181" s="2" t="s">
        <v>518</v>
      </c>
      <c r="B181" s="2" t="s">
        <v>167</v>
      </c>
      <c r="C181" s="2" t="s">
        <v>168</v>
      </c>
      <c r="D181" s="2" t="s">
        <v>194</v>
      </c>
      <c r="E181" s="2" t="s">
        <v>74</v>
      </c>
      <c r="F181" s="2">
        <v>1</v>
      </c>
      <c r="G181" s="2">
        <v>1</v>
      </c>
      <c r="H181" s="14" t="str">
        <f>VLOOKUP(flu_group[[#This Row],[trust_code]],trust_lookup[],3,0)</f>
        <v>SWL&amp;StG</v>
      </c>
      <c r="I181" s="14" t="str">
        <f>VLOOKUP(flu_group[[#This Row],[trust_code]],trust_lookup[],4,0)</f>
        <v>Mental Health</v>
      </c>
      <c r="K181" s="2" t="s">
        <v>518</v>
      </c>
      <c r="L181" s="2" t="s">
        <v>69</v>
      </c>
      <c r="M181" s="2" t="s">
        <v>70</v>
      </c>
      <c r="N181" s="2" t="s">
        <v>190</v>
      </c>
      <c r="O181" s="2" t="s">
        <v>88</v>
      </c>
      <c r="P181" s="2">
        <v>53</v>
      </c>
      <c r="R181" s="43">
        <v>45607</v>
      </c>
      <c r="S181" s="2">
        <v>46</v>
      </c>
      <c r="T181" s="2" t="s">
        <v>519</v>
      </c>
      <c r="U181" s="2" t="s">
        <v>69</v>
      </c>
      <c r="V181" s="2" t="s">
        <v>70</v>
      </c>
      <c r="W181" s="2" t="s">
        <v>190</v>
      </c>
      <c r="X181" s="23">
        <v>116</v>
      </c>
      <c r="Y181" s="23">
        <v>1389</v>
      </c>
      <c r="Z181" s="23">
        <v>7143</v>
      </c>
      <c r="AA181" s="24">
        <v>0.194456110877782</v>
      </c>
      <c r="AB181" s="14" t="str">
        <f>VLOOKUP(flu_aw24[[#This Row],[trust_code]],trust_lookup[],3,0)</f>
        <v>ELFT</v>
      </c>
      <c r="AD181" s="43">
        <v>46013</v>
      </c>
      <c r="AE181" s="2">
        <v>52</v>
      </c>
      <c r="AF181" s="2" t="s">
        <v>518</v>
      </c>
      <c r="AG181" s="2" t="s">
        <v>147</v>
      </c>
      <c r="AH181" s="2" t="s">
        <v>148</v>
      </c>
      <c r="AI181" s="2" t="s">
        <v>27</v>
      </c>
      <c r="AJ181" s="23">
        <v>15</v>
      </c>
      <c r="AK181" s="23">
        <v>1610</v>
      </c>
      <c r="AL181" s="23">
        <v>5165</v>
      </c>
      <c r="AM181" s="24">
        <v>0.311713455953533</v>
      </c>
      <c r="AN181" s="44" t="str">
        <f>VLOOKUP(flu_aw25[[#This Row],[trust_code]],trust_lookup[],3,0)</f>
        <v>North London</v>
      </c>
      <c r="AW181" s="2" t="s">
        <v>136</v>
      </c>
      <c r="AX181" s="2" t="s">
        <v>137</v>
      </c>
      <c r="AY181" s="2" t="s">
        <v>656</v>
      </c>
      <c r="AZ181" s="2">
        <v>239</v>
      </c>
      <c r="BA181" s="2">
        <v>138</v>
      </c>
      <c r="BB181" s="44" t="str">
        <f>VLOOKUP(age_group[[#This Row],[trust_code]],trust_lookup[],3,0)</f>
        <v>Moorfields</v>
      </c>
    </row>
    <row r="182" spans="1:54" x14ac:dyDescent="0.35">
      <c r="A182" s="2" t="s">
        <v>518</v>
      </c>
      <c r="B182" s="2" t="s">
        <v>187</v>
      </c>
      <c r="C182" s="2" t="s">
        <v>188</v>
      </c>
      <c r="D182" s="2" t="s">
        <v>192</v>
      </c>
      <c r="E182" s="2" t="s">
        <v>42</v>
      </c>
      <c r="F182" s="2">
        <v>313</v>
      </c>
      <c r="G182" s="2">
        <v>152</v>
      </c>
      <c r="H182" s="14" t="str">
        <f>VLOOKUP(flu_group[[#This Row],[trust_code]],trust_lookup[],3,0)</f>
        <v>West London</v>
      </c>
      <c r="I182" s="14" t="str">
        <f>VLOOKUP(flu_group[[#This Row],[trust_code]],trust_lookup[],4,0)</f>
        <v>Mental Health &amp; Community</v>
      </c>
      <c r="K182" s="2" t="s">
        <v>518</v>
      </c>
      <c r="L182" s="2" t="s">
        <v>69</v>
      </c>
      <c r="M182" s="2" t="s">
        <v>70</v>
      </c>
      <c r="N182" s="2" t="s">
        <v>190</v>
      </c>
      <c r="O182" s="2" t="s">
        <v>141</v>
      </c>
      <c r="P182" s="2">
        <v>79</v>
      </c>
      <c r="R182" s="43">
        <v>45614</v>
      </c>
      <c r="S182" s="2">
        <v>47</v>
      </c>
      <c r="T182" s="2" t="s">
        <v>519</v>
      </c>
      <c r="U182" s="2" t="s">
        <v>69</v>
      </c>
      <c r="V182" s="2" t="s">
        <v>70</v>
      </c>
      <c r="W182" s="2" t="s">
        <v>190</v>
      </c>
      <c r="X182" s="23">
        <v>94</v>
      </c>
      <c r="Y182" s="23">
        <v>1483</v>
      </c>
      <c r="Z182" s="23">
        <v>7143</v>
      </c>
      <c r="AA182" s="24">
        <v>0.207615847683046</v>
      </c>
      <c r="AB182" s="14" t="str">
        <f>VLOOKUP(flu_aw24[[#This Row],[trust_code]],trust_lookup[],3,0)</f>
        <v>ELFT</v>
      </c>
      <c r="AD182" s="43">
        <v>46020</v>
      </c>
      <c r="AE182" s="2">
        <v>1</v>
      </c>
      <c r="AF182" s="2" t="s">
        <v>518</v>
      </c>
      <c r="AG182" s="2" t="s">
        <v>147</v>
      </c>
      <c r="AH182" s="2" t="s">
        <v>148</v>
      </c>
      <c r="AI182" s="2" t="s">
        <v>27</v>
      </c>
      <c r="AJ182" s="23">
        <v>8</v>
      </c>
      <c r="AK182" s="23">
        <v>1618</v>
      </c>
      <c r="AL182" s="23">
        <v>5165</v>
      </c>
      <c r="AM182" s="24">
        <v>0.31326234269119002</v>
      </c>
      <c r="AN182" s="44" t="str">
        <f>VLOOKUP(flu_aw25[[#This Row],[trust_code]],trust_lookup[],3,0)</f>
        <v>North London</v>
      </c>
      <c r="AW182" s="2" t="s">
        <v>136</v>
      </c>
      <c r="AX182" s="2" t="s">
        <v>137</v>
      </c>
      <c r="AY182" s="2" t="s">
        <v>657</v>
      </c>
      <c r="AZ182" s="2">
        <v>185</v>
      </c>
      <c r="BA182" s="2">
        <v>108</v>
      </c>
      <c r="BB182" s="44" t="str">
        <f>VLOOKUP(age_group[[#This Row],[trust_code]],trust_lookup[],3,0)</f>
        <v>Moorfields</v>
      </c>
    </row>
    <row r="183" spans="1:54" x14ac:dyDescent="0.35">
      <c r="A183" s="2" t="s">
        <v>518</v>
      </c>
      <c r="B183" s="2" t="s">
        <v>48</v>
      </c>
      <c r="C183" s="2" t="s">
        <v>49</v>
      </c>
      <c r="D183" s="2" t="s">
        <v>192</v>
      </c>
      <c r="E183" s="2" t="s">
        <v>42</v>
      </c>
      <c r="F183" s="2">
        <v>139</v>
      </c>
      <c r="G183" s="2">
        <v>67</v>
      </c>
      <c r="H183" s="14" t="str">
        <f>VLOOKUP(flu_group[[#This Row],[trust_code]],trust_lookup[],3,0)</f>
        <v>CLCH</v>
      </c>
      <c r="I183" s="14" t="str">
        <f>VLOOKUP(flu_group[[#This Row],[trust_code]],trust_lookup[],4,0)</f>
        <v>Community</v>
      </c>
      <c r="K183" s="2" t="s">
        <v>518</v>
      </c>
      <c r="L183" s="2" t="s">
        <v>69</v>
      </c>
      <c r="M183" s="2" t="s">
        <v>70</v>
      </c>
      <c r="N183" s="2" t="s">
        <v>190</v>
      </c>
      <c r="O183" s="2" t="s">
        <v>61</v>
      </c>
      <c r="P183" s="2">
        <v>54</v>
      </c>
      <c r="R183" s="43">
        <v>45621</v>
      </c>
      <c r="S183" s="2">
        <v>48</v>
      </c>
      <c r="T183" s="2" t="s">
        <v>519</v>
      </c>
      <c r="U183" s="2" t="s">
        <v>69</v>
      </c>
      <c r="V183" s="2" t="s">
        <v>70</v>
      </c>
      <c r="W183" s="2" t="s">
        <v>190</v>
      </c>
      <c r="X183" s="23">
        <v>91</v>
      </c>
      <c r="Y183" s="23">
        <v>1574</v>
      </c>
      <c r="Z183" s="23">
        <v>7143</v>
      </c>
      <c r="AA183" s="24">
        <v>0.22035559288814199</v>
      </c>
      <c r="AB183" s="14" t="str">
        <f>VLOOKUP(flu_aw24[[#This Row],[trust_code]],trust_lookup[],3,0)</f>
        <v>ELFT</v>
      </c>
      <c r="AD183" s="43">
        <v>46027</v>
      </c>
      <c r="AE183" s="2">
        <v>2</v>
      </c>
      <c r="AF183" s="2" t="s">
        <v>518</v>
      </c>
      <c r="AG183" s="2" t="s">
        <v>147</v>
      </c>
      <c r="AH183" s="2" t="s">
        <v>148</v>
      </c>
      <c r="AI183" s="2" t="s">
        <v>27</v>
      </c>
      <c r="AJ183" s="23">
        <v>9</v>
      </c>
      <c r="AK183" s="23">
        <v>1627</v>
      </c>
      <c r="AL183" s="23">
        <v>5165</v>
      </c>
      <c r="AM183" s="24">
        <v>0.31500484027105502</v>
      </c>
      <c r="AN183" s="44" t="str">
        <f>VLOOKUP(flu_aw25[[#This Row],[trust_code]],trust_lookup[],3,0)</f>
        <v>North London</v>
      </c>
      <c r="AW183" s="2" t="s">
        <v>136</v>
      </c>
      <c r="AX183" s="2" t="s">
        <v>137</v>
      </c>
      <c r="AY183" s="2" t="s">
        <v>658</v>
      </c>
      <c r="AZ183" s="2">
        <v>106</v>
      </c>
      <c r="BA183" s="2">
        <v>65</v>
      </c>
      <c r="BB183" s="44" t="str">
        <f>VLOOKUP(age_group[[#This Row],[trust_code]],trust_lookup[],3,0)</f>
        <v>Moorfields</v>
      </c>
    </row>
    <row r="184" spans="1:54" x14ac:dyDescent="0.35">
      <c r="A184" s="2" t="s">
        <v>518</v>
      </c>
      <c r="B184" s="2" t="s">
        <v>69</v>
      </c>
      <c r="C184" s="2" t="s">
        <v>70</v>
      </c>
      <c r="D184" s="2" t="s">
        <v>190</v>
      </c>
      <c r="E184" s="2" t="s">
        <v>42</v>
      </c>
      <c r="F184" s="2">
        <v>706</v>
      </c>
      <c r="G184" s="2">
        <v>314</v>
      </c>
      <c r="H184" s="14" t="str">
        <f>VLOOKUP(flu_group[[#This Row],[trust_code]],trust_lookup[],3,0)</f>
        <v>ELFT</v>
      </c>
      <c r="I184" s="14" t="str">
        <f>VLOOKUP(flu_group[[#This Row],[trust_code]],trust_lookup[],4,0)</f>
        <v>Mental Health &amp; Community</v>
      </c>
      <c r="K184" s="2" t="s">
        <v>518</v>
      </c>
      <c r="L184" s="2" t="s">
        <v>69</v>
      </c>
      <c r="M184" s="2" t="s">
        <v>70</v>
      </c>
      <c r="N184" s="2" t="s">
        <v>190</v>
      </c>
      <c r="O184" s="2" t="s">
        <v>100</v>
      </c>
      <c r="P184" s="2">
        <v>479</v>
      </c>
      <c r="R184" s="43">
        <v>45628</v>
      </c>
      <c r="S184" s="2">
        <v>49</v>
      </c>
      <c r="T184" s="2" t="s">
        <v>519</v>
      </c>
      <c r="U184" s="2" t="s">
        <v>69</v>
      </c>
      <c r="V184" s="2" t="s">
        <v>70</v>
      </c>
      <c r="W184" s="2" t="s">
        <v>190</v>
      </c>
      <c r="X184" s="23">
        <v>80</v>
      </c>
      <c r="Y184" s="23">
        <v>1654</v>
      </c>
      <c r="Z184" s="23">
        <v>7143</v>
      </c>
      <c r="AA184" s="24">
        <v>0.23155536889262199</v>
      </c>
      <c r="AB184" s="14" t="str">
        <f>VLOOKUP(flu_aw24[[#This Row],[trust_code]],trust_lookup[],3,0)</f>
        <v>ELFT</v>
      </c>
      <c r="AD184" s="43">
        <v>46034</v>
      </c>
      <c r="AE184" s="2">
        <v>3</v>
      </c>
      <c r="AF184" s="2" t="s">
        <v>518</v>
      </c>
      <c r="AG184" s="2" t="s">
        <v>147</v>
      </c>
      <c r="AH184" s="2" t="s">
        <v>148</v>
      </c>
      <c r="AI184" s="2" t="s">
        <v>27</v>
      </c>
      <c r="AJ184" s="23">
        <v>10</v>
      </c>
      <c r="AK184" s="23">
        <v>1637</v>
      </c>
      <c r="AL184" s="23">
        <v>5165</v>
      </c>
      <c r="AM184" s="24">
        <v>0.316940948693126</v>
      </c>
      <c r="AN184" s="44" t="str">
        <f>VLOOKUP(flu_aw25[[#This Row],[trust_code]],trust_lookup[],3,0)</f>
        <v>North London</v>
      </c>
      <c r="AW184" s="2" t="s">
        <v>136</v>
      </c>
      <c r="AX184" s="2" t="s">
        <v>137</v>
      </c>
      <c r="AY184" s="2" t="s">
        <v>659</v>
      </c>
      <c r="AZ184" s="2">
        <v>87</v>
      </c>
      <c r="BA184" s="2">
        <v>60</v>
      </c>
      <c r="BB184" s="44" t="str">
        <f>VLOOKUP(age_group[[#This Row],[trust_code]],trust_lookup[],3,0)</f>
        <v>Moorfields</v>
      </c>
    </row>
    <row r="185" spans="1:54" x14ac:dyDescent="0.35">
      <c r="A185" s="2" t="s">
        <v>518</v>
      </c>
      <c r="B185" s="2" t="s">
        <v>62</v>
      </c>
      <c r="C185" s="2" t="s">
        <v>63</v>
      </c>
      <c r="D185" s="2" t="s">
        <v>194</v>
      </c>
      <c r="E185" s="2" t="s">
        <v>42</v>
      </c>
      <c r="F185" s="2">
        <v>772</v>
      </c>
      <c r="G185" s="2">
        <v>373</v>
      </c>
      <c r="H185" s="14" t="str">
        <f>VLOOKUP(flu_group[[#This Row],[trust_code]],trust_lookup[],3,0)</f>
        <v>Croydon</v>
      </c>
      <c r="I185" s="14" t="str">
        <f>VLOOKUP(flu_group[[#This Row],[trust_code]],trust_lookup[],4,0)</f>
        <v>Acute &amp; Community</v>
      </c>
      <c r="K185" s="2" t="s">
        <v>518</v>
      </c>
      <c r="L185" s="2" t="s">
        <v>69</v>
      </c>
      <c r="M185" s="2" t="s">
        <v>70</v>
      </c>
      <c r="N185" s="2" t="s">
        <v>190</v>
      </c>
      <c r="O185" s="2" t="s">
        <v>75</v>
      </c>
      <c r="P185" s="2">
        <v>92</v>
      </c>
      <c r="R185" s="43">
        <v>45635</v>
      </c>
      <c r="S185" s="2">
        <v>50</v>
      </c>
      <c r="T185" s="2" t="s">
        <v>519</v>
      </c>
      <c r="U185" s="2" t="s">
        <v>69</v>
      </c>
      <c r="V185" s="2" t="s">
        <v>70</v>
      </c>
      <c r="W185" s="2" t="s">
        <v>190</v>
      </c>
      <c r="X185" s="23">
        <v>46</v>
      </c>
      <c r="Y185" s="23">
        <v>1700</v>
      </c>
      <c r="Z185" s="23">
        <v>7143</v>
      </c>
      <c r="AA185" s="24">
        <v>0.23799524009519801</v>
      </c>
      <c r="AB185" s="14" t="str">
        <f>VLOOKUP(flu_aw24[[#This Row],[trust_code]],trust_lookup[],3,0)</f>
        <v>ELFT</v>
      </c>
      <c r="AD185" s="43">
        <v>46041</v>
      </c>
      <c r="AE185" s="2">
        <v>4</v>
      </c>
      <c r="AF185" s="2" t="s">
        <v>518</v>
      </c>
      <c r="AG185" s="2" t="s">
        <v>147</v>
      </c>
      <c r="AH185" s="2" t="s">
        <v>148</v>
      </c>
      <c r="AI185" s="2" t="s">
        <v>27</v>
      </c>
      <c r="AJ185" s="23">
        <v>2</v>
      </c>
      <c r="AK185" s="23">
        <v>1639</v>
      </c>
      <c r="AL185" s="23">
        <v>5165</v>
      </c>
      <c r="AM185" s="24">
        <v>0.31732817037754102</v>
      </c>
      <c r="AN185" s="44" t="str">
        <f>VLOOKUP(flu_aw25[[#This Row],[trust_code]],trust_lookup[],3,0)</f>
        <v>North London</v>
      </c>
      <c r="AW185" s="2" t="s">
        <v>142</v>
      </c>
      <c r="AX185" s="2" t="s">
        <v>143</v>
      </c>
      <c r="AY185" s="2" t="s">
        <v>650</v>
      </c>
      <c r="AZ185" s="2">
        <v>119</v>
      </c>
      <c r="BA185" s="2">
        <v>34</v>
      </c>
      <c r="BB185" s="44" t="str">
        <f>VLOOKUP(age_group[[#This Row],[trust_code]],trust_lookup[],3,0)</f>
        <v>NELFT</v>
      </c>
    </row>
    <row r="186" spans="1:54" x14ac:dyDescent="0.35">
      <c r="A186" s="2" t="s">
        <v>518</v>
      </c>
      <c r="B186" s="2" t="s">
        <v>89</v>
      </c>
      <c r="C186" s="2" t="s">
        <v>90</v>
      </c>
      <c r="D186" s="2" t="s">
        <v>193</v>
      </c>
      <c r="E186" s="2" t="s">
        <v>42</v>
      </c>
      <c r="F186" s="2">
        <v>4001</v>
      </c>
      <c r="G186" s="2">
        <v>2163</v>
      </c>
      <c r="H186" s="14" t="str">
        <f>VLOOKUP(flu_group[[#This Row],[trust_code]],trust_lookup[],3,0)</f>
        <v>GSTT</v>
      </c>
      <c r="I186" s="14" t="str">
        <f>VLOOKUP(flu_group[[#This Row],[trust_code]],trust_lookup[],4,0)</f>
        <v>Acute</v>
      </c>
      <c r="K186" s="2" t="s">
        <v>518</v>
      </c>
      <c r="L186" s="2" t="s">
        <v>69</v>
      </c>
      <c r="M186" s="2" t="s">
        <v>70</v>
      </c>
      <c r="N186" s="2" t="s">
        <v>190</v>
      </c>
      <c r="O186" s="2" t="s">
        <v>106</v>
      </c>
      <c r="P186" s="2">
        <v>15</v>
      </c>
      <c r="R186" s="43">
        <v>45642</v>
      </c>
      <c r="S186" s="2">
        <v>51</v>
      </c>
      <c r="T186" s="2" t="s">
        <v>519</v>
      </c>
      <c r="U186" s="2" t="s">
        <v>69</v>
      </c>
      <c r="V186" s="2" t="s">
        <v>70</v>
      </c>
      <c r="W186" s="2" t="s">
        <v>190</v>
      </c>
      <c r="X186" s="23">
        <v>56</v>
      </c>
      <c r="Y186" s="23">
        <v>1756</v>
      </c>
      <c r="Z186" s="23">
        <v>7143</v>
      </c>
      <c r="AA186" s="24">
        <v>0.24583508329833401</v>
      </c>
      <c r="AB186" s="14" t="str">
        <f>VLOOKUP(flu_aw24[[#This Row],[trust_code]],trust_lookup[],3,0)</f>
        <v>ELFT</v>
      </c>
      <c r="AD186" s="43">
        <v>46048</v>
      </c>
      <c r="AE186" s="2">
        <v>5</v>
      </c>
      <c r="AF186" s="2" t="s">
        <v>518</v>
      </c>
      <c r="AG186" s="2" t="s">
        <v>147</v>
      </c>
      <c r="AH186" s="2" t="s">
        <v>148</v>
      </c>
      <c r="AI186" s="2" t="s">
        <v>27</v>
      </c>
      <c r="AJ186" s="23">
        <v>4</v>
      </c>
      <c r="AK186" s="23">
        <v>1643</v>
      </c>
      <c r="AL186" s="23">
        <v>5165</v>
      </c>
      <c r="AM186" s="24">
        <v>0.318102613746369</v>
      </c>
      <c r="AN186" s="44" t="str">
        <f>VLOOKUP(flu_aw25[[#This Row],[trust_code]],trust_lookup[],3,0)</f>
        <v>North London</v>
      </c>
      <c r="AW186" s="2" t="s">
        <v>142</v>
      </c>
      <c r="AX186" s="2" t="s">
        <v>143</v>
      </c>
      <c r="AY186" s="2" t="s">
        <v>651</v>
      </c>
      <c r="AZ186" s="2">
        <v>516</v>
      </c>
      <c r="BA186" s="2">
        <v>112</v>
      </c>
      <c r="BB186" s="44" t="str">
        <f>VLOOKUP(age_group[[#This Row],[trust_code]],trust_lookup[],3,0)</f>
        <v>NELFT</v>
      </c>
    </row>
    <row r="187" spans="1:54" x14ac:dyDescent="0.35">
      <c r="A187" s="2" t="s">
        <v>518</v>
      </c>
      <c r="B187" s="2" t="s">
        <v>76</v>
      </c>
      <c r="C187" s="2" t="s">
        <v>77</v>
      </c>
      <c r="D187" s="2" t="s">
        <v>194</v>
      </c>
      <c r="E187" s="2" t="s">
        <v>42</v>
      </c>
      <c r="F187" s="2">
        <v>1088</v>
      </c>
      <c r="G187" s="2">
        <v>592</v>
      </c>
      <c r="H187" s="14" t="str">
        <f>VLOOKUP(flu_group[[#This Row],[trust_code]],trust_lookup[],3,0)</f>
        <v>Epsom</v>
      </c>
      <c r="I187" s="14" t="str">
        <f>VLOOKUP(flu_group[[#This Row],[trust_code]],trust_lookup[],4,0)</f>
        <v>Acute</v>
      </c>
      <c r="K187" s="2" t="s">
        <v>518</v>
      </c>
      <c r="L187" s="2" t="s">
        <v>69</v>
      </c>
      <c r="M187" s="2" t="s">
        <v>70</v>
      </c>
      <c r="N187" s="2" t="s">
        <v>190</v>
      </c>
      <c r="O187" s="2" t="s">
        <v>112</v>
      </c>
      <c r="P187" s="2">
        <v>54</v>
      </c>
      <c r="R187" s="43">
        <v>45649</v>
      </c>
      <c r="S187" s="2">
        <v>52</v>
      </c>
      <c r="T187" s="2" t="s">
        <v>519</v>
      </c>
      <c r="U187" s="2" t="s">
        <v>69</v>
      </c>
      <c r="V187" s="2" t="s">
        <v>70</v>
      </c>
      <c r="W187" s="2" t="s">
        <v>190</v>
      </c>
      <c r="X187" s="23">
        <v>11</v>
      </c>
      <c r="Y187" s="23">
        <v>1767</v>
      </c>
      <c r="Z187" s="23">
        <v>7143</v>
      </c>
      <c r="AA187" s="24">
        <v>0.24737505249895</v>
      </c>
      <c r="AB187" s="14" t="str">
        <f>VLOOKUP(flu_aw24[[#This Row],[trust_code]],trust_lookup[],3,0)</f>
        <v>ELFT</v>
      </c>
      <c r="AD187" s="43">
        <v>46055</v>
      </c>
      <c r="AE187" s="2">
        <v>6</v>
      </c>
      <c r="AF187" s="2" t="s">
        <v>518</v>
      </c>
      <c r="AG187" s="2" t="s">
        <v>147</v>
      </c>
      <c r="AH187" s="2" t="s">
        <v>148</v>
      </c>
      <c r="AI187" s="2" t="s">
        <v>27</v>
      </c>
      <c r="AJ187" s="23">
        <v>3</v>
      </c>
      <c r="AK187" s="23">
        <v>1646</v>
      </c>
      <c r="AL187" s="23">
        <v>5165</v>
      </c>
      <c r="AM187" s="24">
        <v>0.318683446272991</v>
      </c>
      <c r="AN187" s="44" t="str">
        <f>VLOOKUP(flu_aw25[[#This Row],[trust_code]],trust_lookup[],3,0)</f>
        <v>North London</v>
      </c>
      <c r="AW187" s="2" t="s">
        <v>142</v>
      </c>
      <c r="AX187" s="2" t="s">
        <v>143</v>
      </c>
      <c r="AY187" s="2" t="s">
        <v>652</v>
      </c>
      <c r="AZ187" s="2">
        <v>588</v>
      </c>
      <c r="BA187" s="2">
        <v>143</v>
      </c>
      <c r="BB187" s="44" t="str">
        <f>VLOOKUP(age_group[[#This Row],[trust_code]],trust_lookup[],3,0)</f>
        <v>NELFT</v>
      </c>
    </row>
    <row r="188" spans="1:54" x14ac:dyDescent="0.35">
      <c r="A188" s="2" t="s">
        <v>518</v>
      </c>
      <c r="B188" s="2" t="s">
        <v>113</v>
      </c>
      <c r="C188" s="2" t="s">
        <v>114</v>
      </c>
      <c r="D188" s="2" t="s">
        <v>194</v>
      </c>
      <c r="E188" s="2" t="s">
        <v>42</v>
      </c>
      <c r="F188" s="2">
        <v>823</v>
      </c>
      <c r="G188" s="2">
        <v>460</v>
      </c>
      <c r="H188" s="14" t="str">
        <f>VLOOKUP(flu_group[[#This Row],[trust_code]],trust_lookup[],3,0)</f>
        <v>K&amp;R FT</v>
      </c>
      <c r="I188" s="14" t="str">
        <f>VLOOKUP(flu_group[[#This Row],[trust_code]],trust_lookup[],4,0)</f>
        <v>Acute &amp; Community</v>
      </c>
      <c r="K188" s="2" t="s">
        <v>518</v>
      </c>
      <c r="L188" s="2" t="s">
        <v>69</v>
      </c>
      <c r="M188" s="2" t="s">
        <v>70</v>
      </c>
      <c r="N188" s="2" t="s">
        <v>190</v>
      </c>
      <c r="O188" s="2" t="s">
        <v>36</v>
      </c>
      <c r="P188" s="2">
        <v>102</v>
      </c>
      <c r="R188" s="43">
        <v>45656</v>
      </c>
      <c r="S188" s="2">
        <v>1</v>
      </c>
      <c r="T188" s="2" t="s">
        <v>519</v>
      </c>
      <c r="U188" s="2" t="s">
        <v>69</v>
      </c>
      <c r="V188" s="2" t="s">
        <v>70</v>
      </c>
      <c r="W188" s="2" t="s">
        <v>190</v>
      </c>
      <c r="X188" s="23">
        <v>8</v>
      </c>
      <c r="Y188" s="23">
        <v>1775</v>
      </c>
      <c r="Z188" s="23">
        <v>7143</v>
      </c>
      <c r="AA188" s="24">
        <v>0.248495030099398</v>
      </c>
      <c r="AB188" s="14" t="str">
        <f>VLOOKUP(flu_aw24[[#This Row],[trust_code]],trust_lookup[],3,0)</f>
        <v>ELFT</v>
      </c>
      <c r="AD188" s="43">
        <v>46062</v>
      </c>
      <c r="AE188" s="2">
        <v>7</v>
      </c>
      <c r="AF188" s="2" t="s">
        <v>518</v>
      </c>
      <c r="AG188" s="2" t="s">
        <v>147</v>
      </c>
      <c r="AH188" s="2" t="s">
        <v>148</v>
      </c>
      <c r="AI188" s="2" t="s">
        <v>27</v>
      </c>
      <c r="AJ188" s="23">
        <v>3</v>
      </c>
      <c r="AK188" s="23">
        <v>1649</v>
      </c>
      <c r="AL188" s="23">
        <v>5165</v>
      </c>
      <c r="AM188" s="24">
        <v>0.319264278799612</v>
      </c>
      <c r="AN188" s="44" t="str">
        <f>VLOOKUP(flu_aw25[[#This Row],[trust_code]],trust_lookup[],3,0)</f>
        <v>North London</v>
      </c>
      <c r="AW188" s="2" t="s">
        <v>142</v>
      </c>
      <c r="AX188" s="2" t="s">
        <v>143</v>
      </c>
      <c r="AY188" s="2" t="s">
        <v>653</v>
      </c>
      <c r="AZ188" s="2">
        <v>640</v>
      </c>
      <c r="BA188" s="2">
        <v>179</v>
      </c>
      <c r="BB188" s="44" t="str">
        <f>VLOOKUP(age_group[[#This Row],[trust_code]],trust_lookup[],3,0)</f>
        <v>NELFT</v>
      </c>
    </row>
    <row r="189" spans="1:54" x14ac:dyDescent="0.35">
      <c r="A189" s="2" t="s">
        <v>518</v>
      </c>
      <c r="B189" s="2" t="s">
        <v>101</v>
      </c>
      <c r="C189" s="2" t="s">
        <v>102</v>
      </c>
      <c r="D189" s="2" t="s">
        <v>192</v>
      </c>
      <c r="E189" s="2" t="s">
        <v>42</v>
      </c>
      <c r="F189" s="2">
        <v>3083</v>
      </c>
      <c r="G189" s="2">
        <v>1499</v>
      </c>
      <c r="H189" s="14" t="str">
        <f>VLOOKUP(flu_group[[#This Row],[trust_code]],trust_lookup[],3,0)</f>
        <v>Imperial</v>
      </c>
      <c r="I189" s="14" t="str">
        <f>VLOOKUP(flu_group[[#This Row],[trust_code]],trust_lookup[],4,0)</f>
        <v>Acute</v>
      </c>
      <c r="K189" s="2" t="s">
        <v>518</v>
      </c>
      <c r="L189" s="2" t="s">
        <v>95</v>
      </c>
      <c r="M189" s="2" t="s">
        <v>96</v>
      </c>
      <c r="N189" s="2" t="s">
        <v>190</v>
      </c>
      <c r="O189" s="2" t="s">
        <v>68</v>
      </c>
      <c r="P189" s="2">
        <v>581</v>
      </c>
      <c r="R189" s="43">
        <v>45663</v>
      </c>
      <c r="S189" s="2">
        <v>2</v>
      </c>
      <c r="T189" s="2" t="s">
        <v>519</v>
      </c>
      <c r="U189" s="2" t="s">
        <v>69</v>
      </c>
      <c r="V189" s="2" t="s">
        <v>70</v>
      </c>
      <c r="W189" s="2" t="s">
        <v>190</v>
      </c>
      <c r="X189" s="23">
        <v>25</v>
      </c>
      <c r="Y189" s="23">
        <v>1800</v>
      </c>
      <c r="Z189" s="23">
        <v>7143</v>
      </c>
      <c r="AA189" s="24">
        <v>0.25199496010079703</v>
      </c>
      <c r="AB189" s="14" t="str">
        <f>VLOOKUP(flu_aw24[[#This Row],[trust_code]],trust_lookup[],3,0)</f>
        <v>ELFT</v>
      </c>
      <c r="AD189" s="43">
        <v>46069</v>
      </c>
      <c r="AE189" s="2">
        <v>8</v>
      </c>
      <c r="AF189" s="2" t="s">
        <v>518</v>
      </c>
      <c r="AG189" s="2" t="s">
        <v>147</v>
      </c>
      <c r="AH189" s="2" t="s">
        <v>148</v>
      </c>
      <c r="AI189" s="2" t="s">
        <v>27</v>
      </c>
      <c r="AJ189" s="23">
        <v>2</v>
      </c>
      <c r="AK189" s="23">
        <v>1651</v>
      </c>
      <c r="AL189" s="23">
        <v>5165</v>
      </c>
      <c r="AM189" s="24">
        <v>0.31965150048402702</v>
      </c>
      <c r="AN189" s="44" t="str">
        <f>VLOOKUP(flu_aw25[[#This Row],[trust_code]],trust_lookup[],3,0)</f>
        <v>North London</v>
      </c>
      <c r="AW189" s="2" t="s">
        <v>142</v>
      </c>
      <c r="AX189" s="2" t="s">
        <v>143</v>
      </c>
      <c r="AY189" s="2" t="s">
        <v>654</v>
      </c>
      <c r="AZ189" s="2">
        <v>724</v>
      </c>
      <c r="BA189" s="2">
        <v>196</v>
      </c>
      <c r="BB189" s="44" t="str">
        <f>VLOOKUP(age_group[[#This Row],[trust_code]],trust_lookup[],3,0)</f>
        <v>NELFT</v>
      </c>
    </row>
    <row r="190" spans="1:54" x14ac:dyDescent="0.35">
      <c r="A190" s="2" t="s">
        <v>518</v>
      </c>
      <c r="B190" s="2" t="s">
        <v>37</v>
      </c>
      <c r="C190" s="2" t="s">
        <v>38</v>
      </c>
      <c r="D190" s="2" t="s">
        <v>190</v>
      </c>
      <c r="E190" s="2" t="s">
        <v>42</v>
      </c>
      <c r="F190" s="2">
        <v>6444</v>
      </c>
      <c r="G190" s="2">
        <v>2971</v>
      </c>
      <c r="H190" s="14" t="str">
        <f>VLOOKUP(flu_group[[#This Row],[trust_code]],trust_lookup[],3,0)</f>
        <v>Barts</v>
      </c>
      <c r="I190" s="14" t="str">
        <f>VLOOKUP(flu_group[[#This Row],[trust_code]],trust_lookup[],4,0)</f>
        <v>Acute</v>
      </c>
      <c r="K190" s="2" t="s">
        <v>518</v>
      </c>
      <c r="L190" s="2" t="s">
        <v>95</v>
      </c>
      <c r="M190" s="2" t="s">
        <v>96</v>
      </c>
      <c r="N190" s="2" t="s">
        <v>190</v>
      </c>
      <c r="O190" s="2" t="s">
        <v>135</v>
      </c>
      <c r="P190" s="2">
        <v>37</v>
      </c>
      <c r="R190" s="43">
        <v>45670</v>
      </c>
      <c r="S190" s="2">
        <v>3</v>
      </c>
      <c r="T190" s="2" t="s">
        <v>519</v>
      </c>
      <c r="U190" s="2" t="s">
        <v>69</v>
      </c>
      <c r="V190" s="2" t="s">
        <v>70</v>
      </c>
      <c r="W190" s="2" t="s">
        <v>190</v>
      </c>
      <c r="X190" s="23">
        <v>28</v>
      </c>
      <c r="Y190" s="23">
        <v>1828</v>
      </c>
      <c r="Z190" s="23">
        <v>7143</v>
      </c>
      <c r="AA190" s="24">
        <v>0.25591488170236498</v>
      </c>
      <c r="AB190" s="14" t="str">
        <f>VLOOKUP(flu_aw24[[#This Row],[trust_code]],trust_lookup[],3,0)</f>
        <v>ELFT</v>
      </c>
      <c r="AD190" s="43">
        <v>46076</v>
      </c>
      <c r="AE190" s="2">
        <v>9</v>
      </c>
      <c r="AF190" s="2" t="s">
        <v>518</v>
      </c>
      <c r="AG190" s="2" t="s">
        <v>147</v>
      </c>
      <c r="AH190" s="2" t="s">
        <v>148</v>
      </c>
      <c r="AI190" s="2" t="s">
        <v>27</v>
      </c>
      <c r="AJ190" s="23">
        <v>1</v>
      </c>
      <c r="AK190" s="23">
        <v>1652</v>
      </c>
      <c r="AL190" s="23">
        <v>5165</v>
      </c>
      <c r="AM190" s="24">
        <v>0.319845111326234</v>
      </c>
      <c r="AN190" s="44" t="str">
        <f>VLOOKUP(flu_aw25[[#This Row],[trust_code]],trust_lookup[],3,0)</f>
        <v>North London</v>
      </c>
      <c r="AW190" s="2" t="s">
        <v>142</v>
      </c>
      <c r="AX190" s="2" t="s">
        <v>143</v>
      </c>
      <c r="AY190" s="2" t="s">
        <v>655</v>
      </c>
      <c r="AZ190" s="2">
        <v>743</v>
      </c>
      <c r="BA190" s="2">
        <v>223</v>
      </c>
      <c r="BB190" s="44" t="str">
        <f>VLOOKUP(age_group[[#This Row],[trust_code]],trust_lookup[],3,0)</f>
        <v>NELFT</v>
      </c>
    </row>
    <row r="191" spans="1:54" x14ac:dyDescent="0.35">
      <c r="A191" s="2" t="s">
        <v>518</v>
      </c>
      <c r="B191" s="2" t="s">
        <v>30</v>
      </c>
      <c r="C191" s="2" t="s">
        <v>31</v>
      </c>
      <c r="D191" s="2" t="s">
        <v>190</v>
      </c>
      <c r="E191" s="2" t="s">
        <v>42</v>
      </c>
      <c r="F191" s="2">
        <v>1669</v>
      </c>
      <c r="G191" s="2">
        <v>763</v>
      </c>
      <c r="H191" s="14" t="str">
        <f>VLOOKUP(flu_group[[#This Row],[trust_code]],trust_lookup[],3,0)</f>
        <v>BHR</v>
      </c>
      <c r="I191" s="14" t="str">
        <f>VLOOKUP(flu_group[[#This Row],[trust_code]],trust_lookup[],4,0)</f>
        <v>Acute</v>
      </c>
      <c r="K191" s="2" t="s">
        <v>518</v>
      </c>
      <c r="L191" s="2" t="s">
        <v>95</v>
      </c>
      <c r="M191" s="2" t="s">
        <v>96</v>
      </c>
      <c r="N191" s="2" t="s">
        <v>190</v>
      </c>
      <c r="O191" s="2" t="s">
        <v>54</v>
      </c>
      <c r="P191" s="2">
        <v>204</v>
      </c>
      <c r="R191" s="43">
        <v>45677</v>
      </c>
      <c r="S191" s="2">
        <v>4</v>
      </c>
      <c r="T191" s="2" t="s">
        <v>519</v>
      </c>
      <c r="U191" s="2" t="s">
        <v>69</v>
      </c>
      <c r="V191" s="2" t="s">
        <v>70</v>
      </c>
      <c r="W191" s="2" t="s">
        <v>190</v>
      </c>
      <c r="X191" s="23">
        <v>17</v>
      </c>
      <c r="Y191" s="23">
        <v>1845</v>
      </c>
      <c r="Z191" s="23">
        <v>7143</v>
      </c>
      <c r="AA191" s="24">
        <v>0.25829483410331699</v>
      </c>
      <c r="AB191" s="14" t="str">
        <f>VLOOKUP(flu_aw24[[#This Row],[trust_code]],trust_lookup[],3,0)</f>
        <v>ELFT</v>
      </c>
      <c r="AD191" s="43">
        <v>45901</v>
      </c>
      <c r="AE191" s="2">
        <v>36</v>
      </c>
      <c r="AF191" s="2" t="s">
        <v>518</v>
      </c>
      <c r="AG191" s="2" t="s">
        <v>30</v>
      </c>
      <c r="AH191" s="2" t="s">
        <v>31</v>
      </c>
      <c r="AI191" s="2" t="s">
        <v>190</v>
      </c>
      <c r="AJ191" s="23">
        <v>1</v>
      </c>
      <c r="AK191" s="23">
        <v>1</v>
      </c>
      <c r="AL191" s="23">
        <v>6933</v>
      </c>
      <c r="AM191" s="24">
        <v>1.44237703735756E-4</v>
      </c>
      <c r="AN191" s="44" t="str">
        <f>VLOOKUP(flu_aw25[[#This Row],[trust_code]],trust_lookup[],3,0)</f>
        <v>BHR</v>
      </c>
      <c r="AW191" s="2" t="s">
        <v>142</v>
      </c>
      <c r="AX191" s="2" t="s">
        <v>143</v>
      </c>
      <c r="AY191" s="2" t="s">
        <v>656</v>
      </c>
      <c r="AZ191" s="2">
        <v>747</v>
      </c>
      <c r="BA191" s="2">
        <v>258</v>
      </c>
      <c r="BB191" s="44" t="str">
        <f>VLOOKUP(age_group[[#This Row],[trust_code]],trust_lookup[],3,0)</f>
        <v>NELFT</v>
      </c>
    </row>
    <row r="192" spans="1:54" x14ac:dyDescent="0.35">
      <c r="A192" s="2" t="s">
        <v>518</v>
      </c>
      <c r="B192" s="2" t="s">
        <v>107</v>
      </c>
      <c r="C192" s="2" t="s">
        <v>108</v>
      </c>
      <c r="D192" s="2" t="s">
        <v>193</v>
      </c>
      <c r="E192" s="2" t="s">
        <v>42</v>
      </c>
      <c r="F192" s="2">
        <v>2504</v>
      </c>
      <c r="G192" s="2">
        <v>1327</v>
      </c>
      <c r="H192" s="14" t="str">
        <f>VLOOKUP(flu_group[[#This Row],[trust_code]],trust_lookup[],3,0)</f>
        <v>King's</v>
      </c>
      <c r="I192" s="14" t="str">
        <f>VLOOKUP(flu_group[[#This Row],[trust_code]],trust_lookup[],4,0)</f>
        <v>Acute</v>
      </c>
      <c r="K192" s="2" t="s">
        <v>518</v>
      </c>
      <c r="L192" s="2" t="s">
        <v>95</v>
      </c>
      <c r="M192" s="2" t="s">
        <v>96</v>
      </c>
      <c r="N192" s="2" t="s">
        <v>190</v>
      </c>
      <c r="O192" s="2" t="s">
        <v>129</v>
      </c>
      <c r="P192" s="2">
        <v>9</v>
      </c>
      <c r="R192" s="43">
        <v>45684</v>
      </c>
      <c r="S192" s="2">
        <v>5</v>
      </c>
      <c r="T192" s="2" t="s">
        <v>519</v>
      </c>
      <c r="U192" s="2" t="s">
        <v>69</v>
      </c>
      <c r="V192" s="2" t="s">
        <v>70</v>
      </c>
      <c r="W192" s="2" t="s">
        <v>190</v>
      </c>
      <c r="X192" s="23">
        <v>3</v>
      </c>
      <c r="Y192" s="23">
        <v>1848</v>
      </c>
      <c r="Z192" s="23">
        <v>7143</v>
      </c>
      <c r="AA192" s="24">
        <v>0.25871482570348497</v>
      </c>
      <c r="AB192" s="14" t="str">
        <f>VLOOKUP(flu_aw24[[#This Row],[trust_code]],trust_lookup[],3,0)</f>
        <v>ELFT</v>
      </c>
      <c r="AD192" s="43">
        <v>45915</v>
      </c>
      <c r="AE192" s="2">
        <v>38</v>
      </c>
      <c r="AF192" s="2" t="s">
        <v>518</v>
      </c>
      <c r="AG192" s="2" t="s">
        <v>30</v>
      </c>
      <c r="AH192" s="2" t="s">
        <v>31</v>
      </c>
      <c r="AI192" s="2" t="s">
        <v>190</v>
      </c>
      <c r="AJ192" s="23">
        <v>2</v>
      </c>
      <c r="AK192" s="23">
        <v>3</v>
      </c>
      <c r="AL192" s="23">
        <v>6933</v>
      </c>
      <c r="AM192" s="24">
        <v>4.3271311120726902E-4</v>
      </c>
      <c r="AN192" s="44" t="str">
        <f>VLOOKUP(flu_aw25[[#This Row],[trust_code]],trust_lookup[],3,0)</f>
        <v>BHR</v>
      </c>
      <c r="AW192" s="2" t="s">
        <v>142</v>
      </c>
      <c r="AX192" s="2" t="s">
        <v>143</v>
      </c>
      <c r="AY192" s="2" t="s">
        <v>657</v>
      </c>
      <c r="AZ192" s="2">
        <v>674</v>
      </c>
      <c r="BA192" s="2">
        <v>275</v>
      </c>
      <c r="BB192" s="44" t="str">
        <f>VLOOKUP(age_group[[#This Row],[trust_code]],trust_lookup[],3,0)</f>
        <v>NELFT</v>
      </c>
    </row>
    <row r="193" spans="1:54" x14ac:dyDescent="0.35">
      <c r="A193" s="2" t="s">
        <v>518</v>
      </c>
      <c r="B193" s="2" t="s">
        <v>130</v>
      </c>
      <c r="C193" s="2" t="s">
        <v>131</v>
      </c>
      <c r="D193" s="2" t="s">
        <v>192</v>
      </c>
      <c r="E193" s="2" t="s">
        <v>42</v>
      </c>
      <c r="F193" s="2">
        <v>1209</v>
      </c>
      <c r="G193" s="2">
        <v>616</v>
      </c>
      <c r="H193" s="14" t="str">
        <f>VLOOKUP(flu_group[[#This Row],[trust_code]],trust_lookup[],3,0)</f>
        <v>LNW</v>
      </c>
      <c r="I193" s="14" t="str">
        <f>VLOOKUP(flu_group[[#This Row],[trust_code]],trust_lookup[],4,0)</f>
        <v>Acute</v>
      </c>
      <c r="K193" s="2" t="s">
        <v>518</v>
      </c>
      <c r="L193" s="2" t="s">
        <v>95</v>
      </c>
      <c r="M193" s="2" t="s">
        <v>96</v>
      </c>
      <c r="N193" s="2" t="s">
        <v>190</v>
      </c>
      <c r="O193" s="2" t="s">
        <v>47</v>
      </c>
      <c r="P193" s="2">
        <v>14</v>
      </c>
      <c r="R193" s="43">
        <v>45691</v>
      </c>
      <c r="S193" s="2">
        <v>6</v>
      </c>
      <c r="T193" s="2" t="s">
        <v>519</v>
      </c>
      <c r="U193" s="2" t="s">
        <v>69</v>
      </c>
      <c r="V193" s="2" t="s">
        <v>70</v>
      </c>
      <c r="W193" s="2" t="s">
        <v>190</v>
      </c>
      <c r="X193" s="23">
        <v>16</v>
      </c>
      <c r="Y193" s="23">
        <v>1864</v>
      </c>
      <c r="Z193" s="23">
        <v>7143</v>
      </c>
      <c r="AA193" s="24">
        <v>0.26095478090438101</v>
      </c>
      <c r="AB193" s="14" t="str">
        <f>VLOOKUP(flu_aw24[[#This Row],[trust_code]],trust_lookup[],3,0)</f>
        <v>ELFT</v>
      </c>
      <c r="AD193" s="43">
        <v>45922</v>
      </c>
      <c r="AE193" s="2">
        <v>39</v>
      </c>
      <c r="AF193" s="2" t="s">
        <v>518</v>
      </c>
      <c r="AG193" s="2" t="s">
        <v>30</v>
      </c>
      <c r="AH193" s="2" t="s">
        <v>31</v>
      </c>
      <c r="AI193" s="2" t="s">
        <v>190</v>
      </c>
      <c r="AJ193" s="23">
        <v>3</v>
      </c>
      <c r="AK193" s="23">
        <v>6</v>
      </c>
      <c r="AL193" s="23">
        <v>6933</v>
      </c>
      <c r="AM193" s="24">
        <v>8.6542622241453902E-4</v>
      </c>
      <c r="AN193" s="44" t="str">
        <f>VLOOKUP(flu_aw25[[#This Row],[trust_code]],trust_lookup[],3,0)</f>
        <v>BHR</v>
      </c>
      <c r="AW193" s="2" t="s">
        <v>142</v>
      </c>
      <c r="AX193" s="2" t="s">
        <v>143</v>
      </c>
      <c r="AY193" s="2" t="s">
        <v>658</v>
      </c>
      <c r="AZ193" s="2">
        <v>524</v>
      </c>
      <c r="BA193" s="2">
        <v>227</v>
      </c>
      <c r="BB193" s="44" t="str">
        <f>VLOOKUP(age_group[[#This Row],[trust_code]],trust_lookup[],3,0)</f>
        <v>NELFT</v>
      </c>
    </row>
    <row r="194" spans="1:54" x14ac:dyDescent="0.35">
      <c r="A194" s="2" t="s">
        <v>518</v>
      </c>
      <c r="B194" s="2" t="s">
        <v>164</v>
      </c>
      <c r="C194" s="2" t="s">
        <v>165</v>
      </c>
      <c r="D194" s="2" t="s">
        <v>193</v>
      </c>
      <c r="E194" s="2" t="s">
        <v>42</v>
      </c>
      <c r="F194" s="2">
        <v>502</v>
      </c>
      <c r="G194" s="2">
        <v>279</v>
      </c>
      <c r="H194" s="14" t="str">
        <f>VLOOKUP(flu_group[[#This Row],[trust_code]],trust_lookup[],3,0)</f>
        <v>SLAM</v>
      </c>
      <c r="I194" s="14" t="str">
        <f>VLOOKUP(flu_group[[#This Row],[trust_code]],trust_lookup[],4,0)</f>
        <v>Mental Health</v>
      </c>
      <c r="K194" s="2" t="s">
        <v>518</v>
      </c>
      <c r="L194" s="2" t="s">
        <v>95</v>
      </c>
      <c r="M194" s="2" t="s">
        <v>96</v>
      </c>
      <c r="N194" s="2" t="s">
        <v>190</v>
      </c>
      <c r="O194" s="2" t="s">
        <v>94</v>
      </c>
      <c r="P194" s="2">
        <v>22</v>
      </c>
      <c r="R194" s="43">
        <v>45698</v>
      </c>
      <c r="S194" s="2">
        <v>7</v>
      </c>
      <c r="T194" s="2" t="s">
        <v>519</v>
      </c>
      <c r="U194" s="2" t="s">
        <v>69</v>
      </c>
      <c r="V194" s="2" t="s">
        <v>70</v>
      </c>
      <c r="W194" s="2" t="s">
        <v>190</v>
      </c>
      <c r="X194" s="23">
        <v>8</v>
      </c>
      <c r="Y194" s="23">
        <v>1872</v>
      </c>
      <c r="Z194" s="23">
        <v>7143</v>
      </c>
      <c r="AA194" s="24">
        <v>0.26207475850482898</v>
      </c>
      <c r="AB194" s="14" t="str">
        <f>VLOOKUP(flu_aw24[[#This Row],[trust_code]],trust_lookup[],3,0)</f>
        <v>ELFT</v>
      </c>
      <c r="AD194" s="43">
        <v>45929</v>
      </c>
      <c r="AE194" s="2">
        <v>40</v>
      </c>
      <c r="AF194" s="2" t="s">
        <v>518</v>
      </c>
      <c r="AG194" s="2" t="s">
        <v>30</v>
      </c>
      <c r="AH194" s="2" t="s">
        <v>31</v>
      </c>
      <c r="AI194" s="2" t="s">
        <v>190</v>
      </c>
      <c r="AJ194" s="23">
        <v>194</v>
      </c>
      <c r="AK194" s="23">
        <v>200</v>
      </c>
      <c r="AL194" s="23">
        <v>6933</v>
      </c>
      <c r="AM194" s="24">
        <v>2.8847540747151301E-2</v>
      </c>
      <c r="AN194" s="44" t="str">
        <f>VLOOKUP(flu_aw25[[#This Row],[trust_code]],trust_lookup[],3,0)</f>
        <v>BHR</v>
      </c>
      <c r="AW194" s="2" t="s">
        <v>142</v>
      </c>
      <c r="AX194" s="2" t="s">
        <v>143</v>
      </c>
      <c r="AY194" s="2" t="s">
        <v>659</v>
      </c>
      <c r="AZ194" s="2">
        <v>237</v>
      </c>
      <c r="BA194" s="2">
        <v>132</v>
      </c>
      <c r="BB194" s="44" t="str">
        <f>VLOOKUP(age_group[[#This Row],[trust_code]],trust_lookup[],3,0)</f>
        <v>NELFT</v>
      </c>
    </row>
    <row r="195" spans="1:54" x14ac:dyDescent="0.35">
      <c r="A195" s="2" t="s">
        <v>518</v>
      </c>
      <c r="B195" s="2" t="s">
        <v>152</v>
      </c>
      <c r="C195" s="2" t="s">
        <v>153</v>
      </c>
      <c r="D195" s="2" t="s">
        <v>193</v>
      </c>
      <c r="E195" s="2" t="s">
        <v>42</v>
      </c>
      <c r="F195" s="2">
        <v>152</v>
      </c>
      <c r="G195" s="2">
        <v>75</v>
      </c>
      <c r="H195" s="14" t="str">
        <f>VLOOKUP(flu_group[[#This Row],[trust_code]],trust_lookup[],3,0)</f>
        <v>Oxleas</v>
      </c>
      <c r="I195" s="14" t="str">
        <f>VLOOKUP(flu_group[[#This Row],[trust_code]],trust_lookup[],4,0)</f>
        <v>Mental Health &amp; Community</v>
      </c>
      <c r="K195" s="2" t="s">
        <v>518</v>
      </c>
      <c r="L195" s="2" t="s">
        <v>95</v>
      </c>
      <c r="M195" s="2" t="s">
        <v>96</v>
      </c>
      <c r="N195" s="2" t="s">
        <v>190</v>
      </c>
      <c r="O195" s="2" t="s">
        <v>29</v>
      </c>
      <c r="P195" s="2">
        <v>29</v>
      </c>
      <c r="R195" s="43">
        <v>45705</v>
      </c>
      <c r="S195" s="2">
        <v>8</v>
      </c>
      <c r="T195" s="2" t="s">
        <v>519</v>
      </c>
      <c r="U195" s="2" t="s">
        <v>69</v>
      </c>
      <c r="V195" s="2" t="s">
        <v>70</v>
      </c>
      <c r="W195" s="2" t="s">
        <v>190</v>
      </c>
      <c r="X195" s="23">
        <v>3</v>
      </c>
      <c r="Y195" s="23">
        <v>1875</v>
      </c>
      <c r="Z195" s="23">
        <v>7143</v>
      </c>
      <c r="AA195" s="24">
        <v>0.26249475010499701</v>
      </c>
      <c r="AB195" s="14" t="str">
        <f>VLOOKUP(flu_aw24[[#This Row],[trust_code]],trust_lookup[],3,0)</f>
        <v>ELFT</v>
      </c>
      <c r="AD195" s="43">
        <v>45936</v>
      </c>
      <c r="AE195" s="2">
        <v>41</v>
      </c>
      <c r="AF195" s="2" t="s">
        <v>518</v>
      </c>
      <c r="AG195" s="2" t="s">
        <v>30</v>
      </c>
      <c r="AH195" s="2" t="s">
        <v>31</v>
      </c>
      <c r="AI195" s="2" t="s">
        <v>190</v>
      </c>
      <c r="AJ195" s="23">
        <v>344</v>
      </c>
      <c r="AK195" s="23">
        <v>544</v>
      </c>
      <c r="AL195" s="23">
        <v>6933</v>
      </c>
      <c r="AM195" s="24">
        <v>7.84653108322515E-2</v>
      </c>
      <c r="AN195" s="44" t="str">
        <f>VLOOKUP(flu_aw25[[#This Row],[trust_code]],trust_lookup[],3,0)</f>
        <v>BHR</v>
      </c>
      <c r="AW195" s="2" t="s">
        <v>147</v>
      </c>
      <c r="AX195" s="2" t="s">
        <v>148</v>
      </c>
      <c r="AY195" s="2" t="s">
        <v>650</v>
      </c>
      <c r="AZ195" s="2">
        <v>160</v>
      </c>
      <c r="BA195" s="2">
        <v>28</v>
      </c>
      <c r="BB195" s="44" t="str">
        <f>VLOOKUP(age_group[[#This Row],[trust_code]],trust_lookup[],3,0)</f>
        <v>North London</v>
      </c>
    </row>
    <row r="196" spans="1:54" x14ac:dyDescent="0.35">
      <c r="A196" s="2" t="s">
        <v>518</v>
      </c>
      <c r="B196" s="2" t="s">
        <v>157</v>
      </c>
      <c r="C196" s="2" t="s">
        <v>158</v>
      </c>
      <c r="D196" s="2" t="s">
        <v>27</v>
      </c>
      <c r="E196" s="2" t="s">
        <v>42</v>
      </c>
      <c r="F196" s="2">
        <v>5699</v>
      </c>
      <c r="G196" s="2">
        <v>2584</v>
      </c>
      <c r="H196" s="14" t="str">
        <f>VLOOKUP(flu_group[[#This Row],[trust_code]],trust_lookup[],3,0)</f>
        <v>Royal Free</v>
      </c>
      <c r="I196" s="14" t="str">
        <f>VLOOKUP(flu_group[[#This Row],[trust_code]],trust_lookup[],4,0)</f>
        <v>Acute</v>
      </c>
      <c r="K196" s="2" t="s">
        <v>518</v>
      </c>
      <c r="L196" s="2" t="s">
        <v>95</v>
      </c>
      <c r="M196" s="2" t="s">
        <v>96</v>
      </c>
      <c r="N196" s="2" t="s">
        <v>190</v>
      </c>
      <c r="O196" s="2" t="s">
        <v>123</v>
      </c>
      <c r="P196" s="2">
        <v>123</v>
      </c>
      <c r="R196" s="43">
        <v>45712</v>
      </c>
      <c r="S196" s="2">
        <v>9</v>
      </c>
      <c r="T196" s="2" t="s">
        <v>519</v>
      </c>
      <c r="U196" s="2" t="s">
        <v>69</v>
      </c>
      <c r="V196" s="2" t="s">
        <v>70</v>
      </c>
      <c r="W196" s="2" t="s">
        <v>190</v>
      </c>
      <c r="X196" s="23">
        <v>5</v>
      </c>
      <c r="Y196" s="23">
        <v>1880</v>
      </c>
      <c r="Z196" s="23">
        <v>7143</v>
      </c>
      <c r="AA196" s="24">
        <v>0.26319473610527699</v>
      </c>
      <c r="AB196" s="14" t="str">
        <f>VLOOKUP(flu_aw24[[#This Row],[trust_code]],trust_lookup[],3,0)</f>
        <v>ELFT</v>
      </c>
      <c r="AD196" s="43">
        <v>45943</v>
      </c>
      <c r="AE196" s="2">
        <v>42</v>
      </c>
      <c r="AF196" s="2" t="s">
        <v>518</v>
      </c>
      <c r="AG196" s="2" t="s">
        <v>30</v>
      </c>
      <c r="AH196" s="2" t="s">
        <v>31</v>
      </c>
      <c r="AI196" s="2" t="s">
        <v>190</v>
      </c>
      <c r="AJ196" s="23">
        <v>262</v>
      </c>
      <c r="AK196" s="23">
        <v>806</v>
      </c>
      <c r="AL196" s="23">
        <v>6933</v>
      </c>
      <c r="AM196" s="24">
        <v>0.116255589211019</v>
      </c>
      <c r="AN196" s="44" t="str">
        <f>VLOOKUP(flu_aw25[[#This Row],[trust_code]],trust_lookup[],3,0)</f>
        <v>BHR</v>
      </c>
      <c r="AW196" s="2" t="s">
        <v>147</v>
      </c>
      <c r="AX196" s="2" t="s">
        <v>148</v>
      </c>
      <c r="AY196" s="2" t="s">
        <v>651</v>
      </c>
      <c r="AZ196" s="2">
        <v>854</v>
      </c>
      <c r="BA196" s="2">
        <v>230</v>
      </c>
      <c r="BB196" s="44" t="str">
        <f>VLOOKUP(age_group[[#This Row],[trust_code]],trust_lookup[],3,0)</f>
        <v>North London</v>
      </c>
    </row>
    <row r="197" spans="1:54" x14ac:dyDescent="0.35">
      <c r="A197" s="2" t="s">
        <v>518</v>
      </c>
      <c r="B197" s="2" t="s">
        <v>170</v>
      </c>
      <c r="C197" s="2" t="s">
        <v>171</v>
      </c>
      <c r="D197" s="2" t="s">
        <v>194</v>
      </c>
      <c r="E197" s="2" t="s">
        <v>42</v>
      </c>
      <c r="F197" s="2">
        <v>1459</v>
      </c>
      <c r="G197" s="2">
        <v>814</v>
      </c>
      <c r="H197" s="14" t="str">
        <f>VLOOKUP(flu_group[[#This Row],[trust_code]],trust_lookup[],3,0)</f>
        <v>St George's</v>
      </c>
      <c r="I197" s="14" t="str">
        <f>VLOOKUP(flu_group[[#This Row],[trust_code]],trust_lookup[],4,0)</f>
        <v>Acute</v>
      </c>
      <c r="K197" s="2" t="s">
        <v>518</v>
      </c>
      <c r="L197" s="2" t="s">
        <v>95</v>
      </c>
      <c r="M197" s="2" t="s">
        <v>96</v>
      </c>
      <c r="N197" s="2" t="s">
        <v>190</v>
      </c>
      <c r="O197" s="2" t="s">
        <v>82</v>
      </c>
      <c r="P197" s="2">
        <v>27</v>
      </c>
      <c r="R197" s="43">
        <v>45719</v>
      </c>
      <c r="S197" s="2">
        <v>10</v>
      </c>
      <c r="T197" s="2" t="s">
        <v>519</v>
      </c>
      <c r="U197" s="2" t="s">
        <v>69</v>
      </c>
      <c r="V197" s="2" t="s">
        <v>70</v>
      </c>
      <c r="W197" s="2" t="s">
        <v>190</v>
      </c>
      <c r="X197" s="23">
        <v>6</v>
      </c>
      <c r="Y197" s="23">
        <v>1886</v>
      </c>
      <c r="Z197" s="23">
        <v>7143</v>
      </c>
      <c r="AA197" s="24">
        <v>0.26403471930561301</v>
      </c>
      <c r="AB197" s="14" t="str">
        <f>VLOOKUP(flu_aw24[[#This Row],[trust_code]],trust_lookup[],3,0)</f>
        <v>ELFT</v>
      </c>
      <c r="AD197" s="43">
        <v>45950</v>
      </c>
      <c r="AE197" s="2">
        <v>43</v>
      </c>
      <c r="AF197" s="2" t="s">
        <v>518</v>
      </c>
      <c r="AG197" s="2" t="s">
        <v>30</v>
      </c>
      <c r="AH197" s="2" t="s">
        <v>31</v>
      </c>
      <c r="AI197" s="2" t="s">
        <v>190</v>
      </c>
      <c r="AJ197" s="23">
        <v>229</v>
      </c>
      <c r="AK197" s="23">
        <v>1035</v>
      </c>
      <c r="AL197" s="23">
        <v>6933</v>
      </c>
      <c r="AM197" s="24">
        <v>0.14928602336650801</v>
      </c>
      <c r="AN197" s="44" t="str">
        <f>VLOOKUP(flu_aw25[[#This Row],[trust_code]],trust_lookup[],3,0)</f>
        <v>BHR</v>
      </c>
      <c r="AW197" s="2" t="s">
        <v>147</v>
      </c>
      <c r="AX197" s="2" t="s">
        <v>148</v>
      </c>
      <c r="AY197" s="2" t="s">
        <v>652</v>
      </c>
      <c r="AZ197" s="2">
        <v>759</v>
      </c>
      <c r="BA197" s="2">
        <v>205</v>
      </c>
      <c r="BB197" s="44" t="str">
        <f>VLOOKUP(age_group[[#This Row],[trust_code]],trust_lookup[],3,0)</f>
        <v>North London</v>
      </c>
    </row>
    <row r="198" spans="1:54" x14ac:dyDescent="0.35">
      <c r="A198" s="2" t="s">
        <v>518</v>
      </c>
      <c r="B198" s="2" t="s">
        <v>161</v>
      </c>
      <c r="C198" s="2" t="s">
        <v>162</v>
      </c>
      <c r="D198" s="2" t="s">
        <v>27</v>
      </c>
      <c r="E198" s="2" t="s">
        <v>42</v>
      </c>
      <c r="F198" s="2">
        <v>225</v>
      </c>
      <c r="G198" s="2">
        <v>109</v>
      </c>
      <c r="H198" s="14" t="str">
        <f>VLOOKUP(flu_group[[#This Row],[trust_code]],trust_lookup[],3,0)</f>
        <v>RNOH</v>
      </c>
      <c r="I198" s="14" t="str">
        <f>VLOOKUP(flu_group[[#This Row],[trust_code]],trust_lookup[],4,0)</f>
        <v>Specialist</v>
      </c>
      <c r="K198" s="2" t="s">
        <v>518</v>
      </c>
      <c r="L198" s="2" t="s">
        <v>95</v>
      </c>
      <c r="M198" s="2" t="s">
        <v>96</v>
      </c>
      <c r="N198" s="2" t="s">
        <v>190</v>
      </c>
      <c r="O198" s="2" t="s">
        <v>88</v>
      </c>
      <c r="P198" s="2">
        <v>33</v>
      </c>
      <c r="R198" s="43">
        <v>45726</v>
      </c>
      <c r="S198" s="2">
        <v>11</v>
      </c>
      <c r="T198" s="2" t="s">
        <v>519</v>
      </c>
      <c r="U198" s="2" t="s">
        <v>69</v>
      </c>
      <c r="V198" s="2" t="s">
        <v>70</v>
      </c>
      <c r="W198" s="2" t="s">
        <v>190</v>
      </c>
      <c r="X198" s="23">
        <v>1</v>
      </c>
      <c r="Y198" s="23">
        <v>1887</v>
      </c>
      <c r="Z198" s="23">
        <v>7143</v>
      </c>
      <c r="AA198" s="24">
        <v>0.26417471650566898</v>
      </c>
      <c r="AB198" s="14" t="str">
        <f>VLOOKUP(flu_aw24[[#This Row],[trust_code]],trust_lookup[],3,0)</f>
        <v>ELFT</v>
      </c>
      <c r="AD198" s="43">
        <v>45957</v>
      </c>
      <c r="AE198" s="2">
        <v>44</v>
      </c>
      <c r="AF198" s="2" t="s">
        <v>518</v>
      </c>
      <c r="AG198" s="2" t="s">
        <v>30</v>
      </c>
      <c r="AH198" s="2" t="s">
        <v>31</v>
      </c>
      <c r="AI198" s="2" t="s">
        <v>190</v>
      </c>
      <c r="AJ198" s="23">
        <v>212</v>
      </c>
      <c r="AK198" s="23">
        <v>1247</v>
      </c>
      <c r="AL198" s="23">
        <v>6933</v>
      </c>
      <c r="AM198" s="24">
        <v>0.17986441655848801</v>
      </c>
      <c r="AN198" s="44" t="str">
        <f>VLOOKUP(flu_aw25[[#This Row],[trust_code]],trust_lookup[],3,0)</f>
        <v>BHR</v>
      </c>
      <c r="AW198" s="2" t="s">
        <v>147</v>
      </c>
      <c r="AX198" s="2" t="s">
        <v>148</v>
      </c>
      <c r="AY198" s="2" t="s">
        <v>653</v>
      </c>
      <c r="AZ198" s="2">
        <v>620</v>
      </c>
      <c r="BA198" s="2">
        <v>203</v>
      </c>
      <c r="BB198" s="44" t="str">
        <f>VLOOKUP(age_group[[#This Row],[trust_code]],trust_lookup[],3,0)</f>
        <v>North London</v>
      </c>
    </row>
    <row r="199" spans="1:54" x14ac:dyDescent="0.35">
      <c r="A199" s="2" t="s">
        <v>518</v>
      </c>
      <c r="B199" s="2" t="s">
        <v>147</v>
      </c>
      <c r="C199" s="2" t="s">
        <v>148</v>
      </c>
      <c r="D199" s="2" t="s">
        <v>27</v>
      </c>
      <c r="E199" s="2" t="s">
        <v>42</v>
      </c>
      <c r="F199" s="2">
        <v>490</v>
      </c>
      <c r="G199" s="2">
        <v>237</v>
      </c>
      <c r="H199" s="14" t="str">
        <f>VLOOKUP(flu_group[[#This Row],[trust_code]],trust_lookup[],3,0)</f>
        <v>North London</v>
      </c>
      <c r="I199" s="14" t="str">
        <f>VLOOKUP(flu_group[[#This Row],[trust_code]],trust_lookup[],4,0)</f>
        <v>Mental Health</v>
      </c>
      <c r="K199" s="2" t="s">
        <v>518</v>
      </c>
      <c r="L199" s="2" t="s">
        <v>95</v>
      </c>
      <c r="M199" s="2" t="s">
        <v>96</v>
      </c>
      <c r="N199" s="2" t="s">
        <v>190</v>
      </c>
      <c r="O199" s="2" t="s">
        <v>141</v>
      </c>
      <c r="P199" s="2">
        <v>95</v>
      </c>
      <c r="R199" s="43">
        <v>45747</v>
      </c>
      <c r="S199" s="2">
        <v>14</v>
      </c>
      <c r="T199" s="2" t="s">
        <v>519</v>
      </c>
      <c r="U199" s="2" t="s">
        <v>69</v>
      </c>
      <c r="V199" s="2" t="s">
        <v>70</v>
      </c>
      <c r="W199" s="2" t="s">
        <v>190</v>
      </c>
      <c r="X199" s="23">
        <v>1</v>
      </c>
      <c r="Y199" s="23">
        <v>1888</v>
      </c>
      <c r="Z199" s="23">
        <v>7143</v>
      </c>
      <c r="AA199" s="24">
        <v>0.26431471370572501</v>
      </c>
      <c r="AB199" s="14" t="str">
        <f>VLOOKUP(flu_aw24[[#This Row],[trust_code]],trust_lookup[],3,0)</f>
        <v>ELFT</v>
      </c>
      <c r="AD199" s="43">
        <v>45964</v>
      </c>
      <c r="AE199" s="2">
        <v>45</v>
      </c>
      <c r="AF199" s="2" t="s">
        <v>518</v>
      </c>
      <c r="AG199" s="2" t="s">
        <v>30</v>
      </c>
      <c r="AH199" s="2" t="s">
        <v>31</v>
      </c>
      <c r="AI199" s="2" t="s">
        <v>190</v>
      </c>
      <c r="AJ199" s="23">
        <v>232</v>
      </c>
      <c r="AK199" s="23">
        <v>1479</v>
      </c>
      <c r="AL199" s="23">
        <v>6933</v>
      </c>
      <c r="AM199" s="24">
        <v>0.213327563825183</v>
      </c>
      <c r="AN199" s="44" t="str">
        <f>VLOOKUP(flu_aw25[[#This Row],[trust_code]],trust_lookup[],3,0)</f>
        <v>BHR</v>
      </c>
      <c r="AW199" s="2" t="s">
        <v>147</v>
      </c>
      <c r="AX199" s="2" t="s">
        <v>148</v>
      </c>
      <c r="AY199" s="2" t="s">
        <v>654</v>
      </c>
      <c r="AZ199" s="2">
        <v>546</v>
      </c>
      <c r="BA199" s="2">
        <v>153</v>
      </c>
      <c r="BB199" s="44" t="str">
        <f>VLOOKUP(age_group[[#This Row],[trust_code]],trust_lookup[],3,0)</f>
        <v>North London</v>
      </c>
    </row>
    <row r="200" spans="1:54" x14ac:dyDescent="0.35">
      <c r="A200" s="2" t="s">
        <v>518</v>
      </c>
      <c r="B200" s="2" t="s">
        <v>83</v>
      </c>
      <c r="C200" s="2" t="s">
        <v>84</v>
      </c>
      <c r="D200" s="2" t="s">
        <v>27</v>
      </c>
      <c r="E200" s="2" t="s">
        <v>42</v>
      </c>
      <c r="F200" s="2">
        <v>937</v>
      </c>
      <c r="G200" s="2">
        <v>617</v>
      </c>
      <c r="H200" s="14" t="str">
        <f>VLOOKUP(flu_group[[#This Row],[trust_code]],trust_lookup[],3,0)</f>
        <v>GOSH</v>
      </c>
      <c r="I200" s="14" t="str">
        <f>VLOOKUP(flu_group[[#This Row],[trust_code]],trust_lookup[],4,0)</f>
        <v>Specialist</v>
      </c>
      <c r="K200" s="2" t="s">
        <v>518</v>
      </c>
      <c r="L200" s="2" t="s">
        <v>95</v>
      </c>
      <c r="M200" s="2" t="s">
        <v>96</v>
      </c>
      <c r="N200" s="2" t="s">
        <v>190</v>
      </c>
      <c r="O200" s="2" t="s">
        <v>61</v>
      </c>
      <c r="P200" s="2">
        <v>35</v>
      </c>
      <c r="R200" s="43">
        <v>45544</v>
      </c>
      <c r="S200" s="2">
        <v>37</v>
      </c>
      <c r="T200" s="2" t="s">
        <v>519</v>
      </c>
      <c r="U200" s="2" t="s">
        <v>76</v>
      </c>
      <c r="V200" s="2" t="s">
        <v>77</v>
      </c>
      <c r="W200" s="2" t="s">
        <v>194</v>
      </c>
      <c r="X200" s="23">
        <v>1</v>
      </c>
      <c r="Y200" s="23">
        <v>1</v>
      </c>
      <c r="Z200" s="23">
        <v>5931</v>
      </c>
      <c r="AA200" s="24">
        <v>1.6860563142808899E-4</v>
      </c>
      <c r="AB200" s="14" t="str">
        <f>VLOOKUP(flu_aw24[[#This Row],[trust_code]],trust_lookup[],3,0)</f>
        <v>Epsom</v>
      </c>
      <c r="AD200" s="43">
        <v>45971</v>
      </c>
      <c r="AE200" s="2">
        <v>46</v>
      </c>
      <c r="AF200" s="2" t="s">
        <v>518</v>
      </c>
      <c r="AG200" s="2" t="s">
        <v>30</v>
      </c>
      <c r="AH200" s="2" t="s">
        <v>31</v>
      </c>
      <c r="AI200" s="2" t="s">
        <v>190</v>
      </c>
      <c r="AJ200" s="23">
        <v>153</v>
      </c>
      <c r="AK200" s="23">
        <v>1632</v>
      </c>
      <c r="AL200" s="23">
        <v>6933</v>
      </c>
      <c r="AM200" s="24">
        <v>0.235395932496754</v>
      </c>
      <c r="AN200" s="44" t="str">
        <f>VLOOKUP(flu_aw25[[#This Row],[trust_code]],trust_lookup[],3,0)</f>
        <v>BHR</v>
      </c>
      <c r="AW200" s="2" t="s">
        <v>147</v>
      </c>
      <c r="AX200" s="2" t="s">
        <v>148</v>
      </c>
      <c r="AY200" s="2" t="s">
        <v>655</v>
      </c>
      <c r="AZ200" s="2">
        <v>590</v>
      </c>
      <c r="BA200" s="2">
        <v>168</v>
      </c>
      <c r="BB200" s="44" t="str">
        <f>VLOOKUP(age_group[[#This Row],[trust_code]],trust_lookup[],3,0)</f>
        <v>North London</v>
      </c>
    </row>
    <row r="201" spans="1:54" x14ac:dyDescent="0.35">
      <c r="A201" s="2" t="s">
        <v>518</v>
      </c>
      <c r="B201" s="2" t="s">
        <v>176</v>
      </c>
      <c r="C201" s="2" t="s">
        <v>177</v>
      </c>
      <c r="D201" s="2" t="s">
        <v>192</v>
      </c>
      <c r="E201" s="2" t="s">
        <v>42</v>
      </c>
      <c r="F201" s="2">
        <v>670</v>
      </c>
      <c r="G201" s="2">
        <v>263</v>
      </c>
      <c r="H201" s="14" t="str">
        <f>VLOOKUP(flu_group[[#This Row],[trust_code]],trust_lookup[],3,0)</f>
        <v>Hillingdon</v>
      </c>
      <c r="I201" s="14" t="str">
        <f>VLOOKUP(flu_group[[#This Row],[trust_code]],trust_lookup[],4,0)</f>
        <v>Acute</v>
      </c>
      <c r="K201" s="2" t="s">
        <v>518</v>
      </c>
      <c r="L201" s="2" t="s">
        <v>95</v>
      </c>
      <c r="M201" s="2" t="s">
        <v>96</v>
      </c>
      <c r="N201" s="2" t="s">
        <v>190</v>
      </c>
      <c r="O201" s="2" t="s">
        <v>100</v>
      </c>
      <c r="P201" s="2">
        <v>214</v>
      </c>
      <c r="R201" s="43">
        <v>45551</v>
      </c>
      <c r="S201" s="2">
        <v>38</v>
      </c>
      <c r="T201" s="2" t="s">
        <v>519</v>
      </c>
      <c r="U201" s="2" t="s">
        <v>76</v>
      </c>
      <c r="V201" s="2" t="s">
        <v>77</v>
      </c>
      <c r="W201" s="2" t="s">
        <v>194</v>
      </c>
      <c r="X201" s="23">
        <v>4</v>
      </c>
      <c r="Y201" s="23">
        <v>5</v>
      </c>
      <c r="Z201" s="23">
        <v>5931</v>
      </c>
      <c r="AA201" s="24">
        <v>8.4302815714044801E-4</v>
      </c>
      <c r="AB201" s="14" t="str">
        <f>VLOOKUP(flu_aw24[[#This Row],[trust_code]],trust_lookup[],3,0)</f>
        <v>Epsom</v>
      </c>
      <c r="AD201" s="43">
        <v>45978</v>
      </c>
      <c r="AE201" s="2">
        <v>47</v>
      </c>
      <c r="AF201" s="2" t="s">
        <v>518</v>
      </c>
      <c r="AG201" s="2" t="s">
        <v>30</v>
      </c>
      <c r="AH201" s="2" t="s">
        <v>31</v>
      </c>
      <c r="AI201" s="2" t="s">
        <v>190</v>
      </c>
      <c r="AJ201" s="23">
        <v>169</v>
      </c>
      <c r="AK201" s="23">
        <v>1801</v>
      </c>
      <c r="AL201" s="23">
        <v>6933</v>
      </c>
      <c r="AM201" s="24">
        <v>0.25977210442809701</v>
      </c>
      <c r="AN201" s="44" t="str">
        <f>VLOOKUP(flu_aw25[[#This Row],[trust_code]],trust_lookup[],3,0)</f>
        <v>BHR</v>
      </c>
      <c r="AW201" s="2" t="s">
        <v>147</v>
      </c>
      <c r="AX201" s="2" t="s">
        <v>148</v>
      </c>
      <c r="AY201" s="2" t="s">
        <v>656</v>
      </c>
      <c r="AZ201" s="2">
        <v>548</v>
      </c>
      <c r="BA201" s="2">
        <v>191</v>
      </c>
      <c r="BB201" s="44" t="str">
        <f>VLOOKUP(age_group[[#This Row],[trust_code]],trust_lookup[],3,0)</f>
        <v>North London</v>
      </c>
    </row>
    <row r="202" spans="1:54" x14ac:dyDescent="0.35">
      <c r="A202" s="2" t="s">
        <v>518</v>
      </c>
      <c r="B202" s="2" t="s">
        <v>182</v>
      </c>
      <c r="C202" s="2" t="s">
        <v>183</v>
      </c>
      <c r="D202" s="2" t="s">
        <v>27</v>
      </c>
      <c r="E202" s="2" t="s">
        <v>42</v>
      </c>
      <c r="F202" s="2">
        <v>2604</v>
      </c>
      <c r="G202" s="2">
        <v>1367</v>
      </c>
      <c r="H202" s="14" t="str">
        <f>VLOOKUP(flu_group[[#This Row],[trust_code]],trust_lookup[],3,0)</f>
        <v>UCLH</v>
      </c>
      <c r="I202" s="14" t="str">
        <f>VLOOKUP(flu_group[[#This Row],[trust_code]],trust_lookup[],4,0)</f>
        <v>Acute</v>
      </c>
      <c r="K202" s="2" t="s">
        <v>518</v>
      </c>
      <c r="L202" s="2" t="s">
        <v>95</v>
      </c>
      <c r="M202" s="2" t="s">
        <v>96</v>
      </c>
      <c r="N202" s="2" t="s">
        <v>190</v>
      </c>
      <c r="O202" s="2" t="s">
        <v>75</v>
      </c>
      <c r="P202" s="2">
        <v>54</v>
      </c>
      <c r="R202" s="43">
        <v>45558</v>
      </c>
      <c r="S202" s="2">
        <v>39</v>
      </c>
      <c r="T202" s="2" t="s">
        <v>519</v>
      </c>
      <c r="U202" s="2" t="s">
        <v>76</v>
      </c>
      <c r="V202" s="2" t="s">
        <v>77</v>
      </c>
      <c r="W202" s="2" t="s">
        <v>194</v>
      </c>
      <c r="X202" s="23">
        <v>9</v>
      </c>
      <c r="Y202" s="23">
        <v>14</v>
      </c>
      <c r="Z202" s="23">
        <v>5931</v>
      </c>
      <c r="AA202" s="24">
        <v>2.3604788399932499E-3</v>
      </c>
      <c r="AB202" s="14" t="str">
        <f>VLOOKUP(flu_aw24[[#This Row],[trust_code]],trust_lookup[],3,0)</f>
        <v>Epsom</v>
      </c>
      <c r="AD202" s="43">
        <v>45985</v>
      </c>
      <c r="AE202" s="2">
        <v>48</v>
      </c>
      <c r="AF202" s="2" t="s">
        <v>518</v>
      </c>
      <c r="AG202" s="2" t="s">
        <v>30</v>
      </c>
      <c r="AH202" s="2" t="s">
        <v>31</v>
      </c>
      <c r="AI202" s="2" t="s">
        <v>190</v>
      </c>
      <c r="AJ202" s="23">
        <v>177</v>
      </c>
      <c r="AK202" s="23">
        <v>1978</v>
      </c>
      <c r="AL202" s="23">
        <v>6933</v>
      </c>
      <c r="AM202" s="24">
        <v>0.285302177989326</v>
      </c>
      <c r="AN202" s="44" t="str">
        <f>VLOOKUP(flu_aw25[[#This Row],[trust_code]],trust_lookup[],3,0)</f>
        <v>BHR</v>
      </c>
      <c r="AW202" s="2" t="s">
        <v>147</v>
      </c>
      <c r="AX202" s="2" t="s">
        <v>148</v>
      </c>
      <c r="AY202" s="2" t="s">
        <v>657</v>
      </c>
      <c r="AZ202" s="2">
        <v>546</v>
      </c>
      <c r="BA202" s="2">
        <v>206</v>
      </c>
      <c r="BB202" s="44" t="str">
        <f>VLOOKUP(age_group[[#This Row],[trust_code]],trust_lookup[],3,0)</f>
        <v>North London</v>
      </c>
    </row>
    <row r="203" spans="1:54" x14ac:dyDescent="0.35">
      <c r="A203" s="2" t="s">
        <v>518</v>
      </c>
      <c r="B203" s="2" t="s">
        <v>173</v>
      </c>
      <c r="C203" s="2" t="s">
        <v>174</v>
      </c>
      <c r="D203" s="2" t="s">
        <v>27</v>
      </c>
      <c r="E203" s="2" t="s">
        <v>42</v>
      </c>
      <c r="F203" s="2">
        <v>54</v>
      </c>
      <c r="G203" s="2">
        <v>29</v>
      </c>
      <c r="H203" s="14" t="str">
        <f>VLOOKUP(flu_group[[#This Row],[trust_code]],trust_lookup[],3,0)</f>
        <v>T&amp;P</v>
      </c>
      <c r="I203" s="14" t="str">
        <f>VLOOKUP(flu_group[[#This Row],[trust_code]],trust_lookup[],4,0)</f>
        <v>Mental Health</v>
      </c>
      <c r="K203" s="2" t="s">
        <v>518</v>
      </c>
      <c r="L203" s="2" t="s">
        <v>95</v>
      </c>
      <c r="M203" s="2" t="s">
        <v>96</v>
      </c>
      <c r="N203" s="2" t="s">
        <v>190</v>
      </c>
      <c r="O203" s="2" t="s">
        <v>106</v>
      </c>
      <c r="P203" s="2">
        <v>31</v>
      </c>
      <c r="R203" s="43">
        <v>45565</v>
      </c>
      <c r="S203" s="2">
        <v>40</v>
      </c>
      <c r="T203" s="2" t="s">
        <v>519</v>
      </c>
      <c r="U203" s="2" t="s">
        <v>76</v>
      </c>
      <c r="V203" s="2" t="s">
        <v>77</v>
      </c>
      <c r="W203" s="2" t="s">
        <v>194</v>
      </c>
      <c r="X203" s="23">
        <v>135</v>
      </c>
      <c r="Y203" s="23">
        <v>149</v>
      </c>
      <c r="Z203" s="23">
        <v>5931</v>
      </c>
      <c r="AA203" s="24">
        <v>2.5122239082785301E-2</v>
      </c>
      <c r="AB203" s="14" t="str">
        <f>VLOOKUP(flu_aw24[[#This Row],[trust_code]],trust_lookup[],3,0)</f>
        <v>Epsom</v>
      </c>
      <c r="AD203" s="43">
        <v>45992</v>
      </c>
      <c r="AE203" s="2">
        <v>49</v>
      </c>
      <c r="AF203" s="2" t="s">
        <v>518</v>
      </c>
      <c r="AG203" s="2" t="s">
        <v>30</v>
      </c>
      <c r="AH203" s="2" t="s">
        <v>31</v>
      </c>
      <c r="AI203" s="2" t="s">
        <v>190</v>
      </c>
      <c r="AJ203" s="23">
        <v>149</v>
      </c>
      <c r="AK203" s="23">
        <v>2127</v>
      </c>
      <c r="AL203" s="23">
        <v>6933</v>
      </c>
      <c r="AM203" s="24">
        <v>0.306793595845954</v>
      </c>
      <c r="AN203" s="44" t="str">
        <f>VLOOKUP(flu_aw25[[#This Row],[trust_code]],trust_lookup[],3,0)</f>
        <v>BHR</v>
      </c>
      <c r="AW203" s="2" t="s">
        <v>147</v>
      </c>
      <c r="AX203" s="2" t="s">
        <v>148</v>
      </c>
      <c r="AY203" s="2" t="s">
        <v>658</v>
      </c>
      <c r="AZ203" s="2">
        <v>379</v>
      </c>
      <c r="BA203" s="2">
        <v>155</v>
      </c>
      <c r="BB203" s="44" t="str">
        <f>VLOOKUP(age_group[[#This Row],[trust_code]],trust_lookup[],3,0)</f>
        <v>North London</v>
      </c>
    </row>
    <row r="204" spans="1:54" x14ac:dyDescent="0.35">
      <c r="A204" s="2" t="s">
        <v>518</v>
      </c>
      <c r="B204" s="2" t="s">
        <v>136</v>
      </c>
      <c r="C204" s="2" t="s">
        <v>137</v>
      </c>
      <c r="D204" s="2" t="s">
        <v>27</v>
      </c>
      <c r="E204" s="2" t="s">
        <v>42</v>
      </c>
      <c r="F204" s="2">
        <v>471</v>
      </c>
      <c r="G204" s="2">
        <v>278</v>
      </c>
      <c r="H204" s="14" t="str">
        <f>VLOOKUP(flu_group[[#This Row],[trust_code]],trust_lookup[],3,0)</f>
        <v>Moorfields</v>
      </c>
      <c r="I204" s="14" t="str">
        <f>VLOOKUP(flu_group[[#This Row],[trust_code]],trust_lookup[],4,0)</f>
        <v>Specialist</v>
      </c>
      <c r="K204" s="2" t="s">
        <v>518</v>
      </c>
      <c r="L204" s="2" t="s">
        <v>95</v>
      </c>
      <c r="M204" s="2" t="s">
        <v>96</v>
      </c>
      <c r="N204" s="2" t="s">
        <v>190</v>
      </c>
      <c r="O204" s="2" t="s">
        <v>112</v>
      </c>
      <c r="P204" s="2">
        <v>97</v>
      </c>
      <c r="R204" s="43">
        <v>45572</v>
      </c>
      <c r="S204" s="2">
        <v>41</v>
      </c>
      <c r="T204" s="2" t="s">
        <v>519</v>
      </c>
      <c r="U204" s="2" t="s">
        <v>76</v>
      </c>
      <c r="V204" s="2" t="s">
        <v>77</v>
      </c>
      <c r="W204" s="2" t="s">
        <v>194</v>
      </c>
      <c r="X204" s="23">
        <v>335</v>
      </c>
      <c r="Y204" s="23">
        <v>484</v>
      </c>
      <c r="Z204" s="23">
        <v>5931</v>
      </c>
      <c r="AA204" s="24">
        <v>8.16051256111954E-2</v>
      </c>
      <c r="AB204" s="14" t="str">
        <f>VLOOKUP(flu_aw24[[#This Row],[trust_code]],trust_lookup[],3,0)</f>
        <v>Epsom</v>
      </c>
      <c r="AD204" s="43">
        <v>45999</v>
      </c>
      <c r="AE204" s="2">
        <v>50</v>
      </c>
      <c r="AF204" s="2" t="s">
        <v>518</v>
      </c>
      <c r="AG204" s="2" t="s">
        <v>30</v>
      </c>
      <c r="AH204" s="2" t="s">
        <v>31</v>
      </c>
      <c r="AI204" s="2" t="s">
        <v>190</v>
      </c>
      <c r="AJ204" s="23">
        <v>162</v>
      </c>
      <c r="AK204" s="23">
        <v>2289</v>
      </c>
      <c r="AL204" s="23">
        <v>6933</v>
      </c>
      <c r="AM204" s="24">
        <v>0.33016010385114603</v>
      </c>
      <c r="AN204" s="44" t="str">
        <f>VLOOKUP(flu_aw25[[#This Row],[trust_code]],trust_lookup[],3,0)</f>
        <v>BHR</v>
      </c>
      <c r="AW204" s="2" t="s">
        <v>147</v>
      </c>
      <c r="AX204" s="2" t="s">
        <v>148</v>
      </c>
      <c r="AY204" s="2" t="s">
        <v>659</v>
      </c>
      <c r="AZ204" s="2">
        <v>219</v>
      </c>
      <c r="BA204" s="2">
        <v>129</v>
      </c>
      <c r="BB204" s="44" t="str">
        <f>VLOOKUP(age_group[[#This Row],[trust_code]],trust_lookup[],3,0)</f>
        <v>North London</v>
      </c>
    </row>
    <row r="205" spans="1:54" x14ac:dyDescent="0.35">
      <c r="A205" s="2" t="s">
        <v>518</v>
      </c>
      <c r="B205" s="2" t="s">
        <v>179</v>
      </c>
      <c r="C205" s="2" t="s">
        <v>180</v>
      </c>
      <c r="D205" s="2" t="s">
        <v>194</v>
      </c>
      <c r="E205" s="2" t="s">
        <v>42</v>
      </c>
      <c r="F205" s="2">
        <v>588</v>
      </c>
      <c r="G205" s="2">
        <v>310</v>
      </c>
      <c r="H205" s="14" t="str">
        <f>VLOOKUP(flu_group[[#This Row],[trust_code]],trust_lookup[],3,0)</f>
        <v>Marsden</v>
      </c>
      <c r="I205" s="14" t="str">
        <f>VLOOKUP(flu_group[[#This Row],[trust_code]],trust_lookup[],4,0)</f>
        <v>Specialist</v>
      </c>
      <c r="K205" s="2" t="s">
        <v>518</v>
      </c>
      <c r="L205" s="2" t="s">
        <v>95</v>
      </c>
      <c r="M205" s="2" t="s">
        <v>96</v>
      </c>
      <c r="N205" s="2" t="s">
        <v>190</v>
      </c>
      <c r="O205" s="2" t="s">
        <v>36</v>
      </c>
      <c r="P205" s="2">
        <v>92</v>
      </c>
      <c r="R205" s="43">
        <v>45579</v>
      </c>
      <c r="S205" s="2">
        <v>42</v>
      </c>
      <c r="T205" s="2" t="s">
        <v>519</v>
      </c>
      <c r="U205" s="2" t="s">
        <v>76</v>
      </c>
      <c r="V205" s="2" t="s">
        <v>77</v>
      </c>
      <c r="W205" s="2" t="s">
        <v>194</v>
      </c>
      <c r="X205" s="23">
        <v>246</v>
      </c>
      <c r="Y205" s="23">
        <v>730</v>
      </c>
      <c r="Z205" s="23">
        <v>5931</v>
      </c>
      <c r="AA205" s="24">
        <v>0.123082110942505</v>
      </c>
      <c r="AB205" s="14" t="str">
        <f>VLOOKUP(flu_aw24[[#This Row],[trust_code]],trust_lookup[],3,0)</f>
        <v>Epsom</v>
      </c>
      <c r="AD205" s="43">
        <v>46006</v>
      </c>
      <c r="AE205" s="2">
        <v>51</v>
      </c>
      <c r="AF205" s="2" t="s">
        <v>518</v>
      </c>
      <c r="AG205" s="2" t="s">
        <v>30</v>
      </c>
      <c r="AH205" s="2" t="s">
        <v>31</v>
      </c>
      <c r="AI205" s="2" t="s">
        <v>190</v>
      </c>
      <c r="AJ205" s="23">
        <v>152</v>
      </c>
      <c r="AK205" s="23">
        <v>2441</v>
      </c>
      <c r="AL205" s="23">
        <v>6933</v>
      </c>
      <c r="AM205" s="24">
        <v>0.35208423481898099</v>
      </c>
      <c r="AN205" s="44" t="str">
        <f>VLOOKUP(flu_aw25[[#This Row],[trust_code]],trust_lookup[],3,0)</f>
        <v>BHR</v>
      </c>
      <c r="AW205" s="2" t="s">
        <v>152</v>
      </c>
      <c r="AX205" s="2" t="s">
        <v>153</v>
      </c>
      <c r="AY205" s="2" t="s">
        <v>650</v>
      </c>
      <c r="AZ205" s="2">
        <v>88</v>
      </c>
      <c r="BA205" s="2">
        <v>22</v>
      </c>
      <c r="BB205" s="44" t="str">
        <f>VLOOKUP(age_group[[#This Row],[trust_code]],trust_lookup[],3,0)</f>
        <v>Oxleas</v>
      </c>
    </row>
    <row r="206" spans="1:54" x14ac:dyDescent="0.35">
      <c r="A206" s="2" t="s">
        <v>518</v>
      </c>
      <c r="B206" s="2" t="s">
        <v>25</v>
      </c>
      <c r="C206" s="2" t="s">
        <v>26</v>
      </c>
      <c r="D206" s="2" t="s">
        <v>192</v>
      </c>
      <c r="E206" s="2" t="s">
        <v>42</v>
      </c>
      <c r="F206" s="2">
        <v>489</v>
      </c>
      <c r="G206" s="2">
        <v>238</v>
      </c>
      <c r="H206" s="14" t="str">
        <f>VLOOKUP(flu_group[[#This Row],[trust_code]],trust_lookup[],3,0)</f>
        <v>CNWL</v>
      </c>
      <c r="I206" s="14" t="str">
        <f>VLOOKUP(flu_group[[#This Row],[trust_code]],trust_lookup[],4,0)</f>
        <v>Mental Health &amp; Community</v>
      </c>
      <c r="K206" s="2" t="s">
        <v>518</v>
      </c>
      <c r="L206" s="2" t="s">
        <v>142</v>
      </c>
      <c r="M206" s="2" t="s">
        <v>143</v>
      </c>
      <c r="N206" s="2" t="s">
        <v>190</v>
      </c>
      <c r="O206" s="2" t="s">
        <v>68</v>
      </c>
      <c r="P206" s="2">
        <v>869</v>
      </c>
      <c r="R206" s="43">
        <v>45586</v>
      </c>
      <c r="S206" s="2">
        <v>43</v>
      </c>
      <c r="T206" s="2" t="s">
        <v>519</v>
      </c>
      <c r="U206" s="2" t="s">
        <v>76</v>
      </c>
      <c r="V206" s="2" t="s">
        <v>77</v>
      </c>
      <c r="W206" s="2" t="s">
        <v>194</v>
      </c>
      <c r="X206" s="23">
        <v>232</v>
      </c>
      <c r="Y206" s="23">
        <v>962</v>
      </c>
      <c r="Z206" s="23">
        <v>5931</v>
      </c>
      <c r="AA206" s="24">
        <v>0.162198617433822</v>
      </c>
      <c r="AB206" s="14" t="str">
        <f>VLOOKUP(flu_aw24[[#This Row],[trust_code]],trust_lookup[],3,0)</f>
        <v>Epsom</v>
      </c>
      <c r="AD206" s="43">
        <v>46013</v>
      </c>
      <c r="AE206" s="2">
        <v>52</v>
      </c>
      <c r="AF206" s="2" t="s">
        <v>518</v>
      </c>
      <c r="AG206" s="2" t="s">
        <v>30</v>
      </c>
      <c r="AH206" s="2" t="s">
        <v>31</v>
      </c>
      <c r="AI206" s="2" t="s">
        <v>190</v>
      </c>
      <c r="AJ206" s="23">
        <v>30</v>
      </c>
      <c r="AK206" s="23">
        <v>2471</v>
      </c>
      <c r="AL206" s="23">
        <v>6933</v>
      </c>
      <c r="AM206" s="24">
        <v>0.35641136593105399</v>
      </c>
      <c r="AN206" s="44" t="str">
        <f>VLOOKUP(flu_aw25[[#This Row],[trust_code]],trust_lookup[],3,0)</f>
        <v>BHR</v>
      </c>
      <c r="AW206" s="2" t="s">
        <v>152</v>
      </c>
      <c r="AX206" s="2" t="s">
        <v>153</v>
      </c>
      <c r="AY206" s="2" t="s">
        <v>651</v>
      </c>
      <c r="AZ206" s="2">
        <v>242</v>
      </c>
      <c r="BA206" s="2">
        <v>76</v>
      </c>
      <c r="BB206" s="44" t="str">
        <f>VLOOKUP(age_group[[#This Row],[trust_code]],trust_lookup[],3,0)</f>
        <v>Oxleas</v>
      </c>
    </row>
    <row r="207" spans="1:54" x14ac:dyDescent="0.35">
      <c r="A207" s="2" t="s">
        <v>518</v>
      </c>
      <c r="B207" s="2" t="s">
        <v>185</v>
      </c>
      <c r="C207" s="2" t="s">
        <v>186</v>
      </c>
      <c r="D207" s="2" t="s">
        <v>27</v>
      </c>
      <c r="E207" s="2" t="s">
        <v>42</v>
      </c>
      <c r="F207" s="2">
        <v>435</v>
      </c>
      <c r="G207" s="2">
        <v>262</v>
      </c>
      <c r="H207" s="14" t="str">
        <f>VLOOKUP(flu_group[[#This Row],[trust_code]],trust_lookup[],3,0)</f>
        <v>Whittington</v>
      </c>
      <c r="I207" s="14" t="str">
        <f>VLOOKUP(flu_group[[#This Row],[trust_code]],trust_lookup[],4,0)</f>
        <v>Acute &amp; Community</v>
      </c>
      <c r="K207" s="2" t="s">
        <v>518</v>
      </c>
      <c r="L207" s="2" t="s">
        <v>142</v>
      </c>
      <c r="M207" s="2" t="s">
        <v>143</v>
      </c>
      <c r="N207" s="2" t="s">
        <v>190</v>
      </c>
      <c r="O207" s="2" t="s">
        <v>135</v>
      </c>
      <c r="P207" s="2">
        <v>30</v>
      </c>
      <c r="R207" s="43">
        <v>45593</v>
      </c>
      <c r="S207" s="2">
        <v>44</v>
      </c>
      <c r="T207" s="2" t="s">
        <v>519</v>
      </c>
      <c r="U207" s="2" t="s">
        <v>76</v>
      </c>
      <c r="V207" s="2" t="s">
        <v>77</v>
      </c>
      <c r="W207" s="2" t="s">
        <v>194</v>
      </c>
      <c r="X207" s="23">
        <v>261</v>
      </c>
      <c r="Y207" s="23">
        <v>1223</v>
      </c>
      <c r="Z207" s="23">
        <v>5931</v>
      </c>
      <c r="AA207" s="24">
        <v>0.206204687236553</v>
      </c>
      <c r="AB207" s="14" t="str">
        <f>VLOOKUP(flu_aw24[[#This Row],[trust_code]],trust_lookup[],3,0)</f>
        <v>Epsom</v>
      </c>
      <c r="AD207" s="43">
        <v>46020</v>
      </c>
      <c r="AE207" s="2">
        <v>1</v>
      </c>
      <c r="AF207" s="2" t="s">
        <v>518</v>
      </c>
      <c r="AG207" s="2" t="s">
        <v>30</v>
      </c>
      <c r="AH207" s="2" t="s">
        <v>31</v>
      </c>
      <c r="AI207" s="2" t="s">
        <v>190</v>
      </c>
      <c r="AJ207" s="23">
        <v>11</v>
      </c>
      <c r="AK207" s="23">
        <v>2482</v>
      </c>
      <c r="AL207" s="23">
        <v>6933</v>
      </c>
      <c r="AM207" s="24">
        <v>0.357997980672147</v>
      </c>
      <c r="AN207" s="44" t="str">
        <f>VLOOKUP(flu_aw25[[#This Row],[trust_code]],trust_lookup[],3,0)</f>
        <v>BHR</v>
      </c>
      <c r="AW207" s="2" t="s">
        <v>152</v>
      </c>
      <c r="AX207" s="2" t="s">
        <v>153</v>
      </c>
      <c r="AY207" s="2" t="s">
        <v>652</v>
      </c>
      <c r="AZ207" s="2">
        <v>318</v>
      </c>
      <c r="BA207" s="2">
        <v>105</v>
      </c>
      <c r="BB207" s="44" t="str">
        <f>VLOOKUP(age_group[[#This Row],[trust_code]],trust_lookup[],3,0)</f>
        <v>Oxleas</v>
      </c>
    </row>
    <row r="208" spans="1:54" x14ac:dyDescent="0.35">
      <c r="A208" s="2" t="s">
        <v>518</v>
      </c>
      <c r="B208" s="2" t="s">
        <v>95</v>
      </c>
      <c r="C208" s="2" t="s">
        <v>96</v>
      </c>
      <c r="D208" s="2" t="s">
        <v>190</v>
      </c>
      <c r="E208" s="2" t="s">
        <v>42</v>
      </c>
      <c r="F208" s="2">
        <v>907</v>
      </c>
      <c r="G208" s="2">
        <v>538</v>
      </c>
      <c r="H208" s="14" t="str">
        <f>VLOOKUP(flu_group[[#This Row],[trust_code]],trust_lookup[],3,0)</f>
        <v>Homerton</v>
      </c>
      <c r="I208" s="14" t="str">
        <f>VLOOKUP(flu_group[[#This Row],[trust_code]],trust_lookup[],4,0)</f>
        <v>Acute</v>
      </c>
      <c r="K208" s="2" t="s">
        <v>518</v>
      </c>
      <c r="L208" s="2" t="s">
        <v>142</v>
      </c>
      <c r="M208" s="2" t="s">
        <v>143</v>
      </c>
      <c r="N208" s="2" t="s">
        <v>190</v>
      </c>
      <c r="O208" s="2" t="s">
        <v>54</v>
      </c>
      <c r="P208" s="2">
        <v>142</v>
      </c>
      <c r="R208" s="43">
        <v>45600</v>
      </c>
      <c r="S208" s="2">
        <v>45</v>
      </c>
      <c r="T208" s="2" t="s">
        <v>519</v>
      </c>
      <c r="U208" s="2" t="s">
        <v>76</v>
      </c>
      <c r="V208" s="2" t="s">
        <v>77</v>
      </c>
      <c r="W208" s="2" t="s">
        <v>194</v>
      </c>
      <c r="X208" s="23">
        <v>206</v>
      </c>
      <c r="Y208" s="23">
        <v>1429</v>
      </c>
      <c r="Z208" s="23">
        <v>5931</v>
      </c>
      <c r="AA208" s="24">
        <v>0.24093744731073999</v>
      </c>
      <c r="AB208" s="14" t="str">
        <f>VLOOKUP(flu_aw24[[#This Row],[trust_code]],trust_lookup[],3,0)</f>
        <v>Epsom</v>
      </c>
      <c r="AD208" s="43">
        <v>46027</v>
      </c>
      <c r="AE208" s="2">
        <v>2</v>
      </c>
      <c r="AF208" s="2" t="s">
        <v>518</v>
      </c>
      <c r="AG208" s="2" t="s">
        <v>30</v>
      </c>
      <c r="AH208" s="2" t="s">
        <v>31</v>
      </c>
      <c r="AI208" s="2" t="s">
        <v>190</v>
      </c>
      <c r="AJ208" s="23">
        <v>47</v>
      </c>
      <c r="AK208" s="23">
        <v>2529</v>
      </c>
      <c r="AL208" s="23">
        <v>6933</v>
      </c>
      <c r="AM208" s="24">
        <v>0.36477715274772798</v>
      </c>
      <c r="AN208" s="44" t="str">
        <f>VLOOKUP(flu_aw25[[#This Row],[trust_code]],trust_lookup[],3,0)</f>
        <v>BHR</v>
      </c>
      <c r="AW208" s="2" t="s">
        <v>152</v>
      </c>
      <c r="AX208" s="2" t="s">
        <v>153</v>
      </c>
      <c r="AY208" s="2" t="s">
        <v>653</v>
      </c>
      <c r="AZ208" s="2">
        <v>336</v>
      </c>
      <c r="BA208" s="2">
        <v>117</v>
      </c>
      <c r="BB208" s="44" t="str">
        <f>VLOOKUP(age_group[[#This Row],[trust_code]],trust_lookup[],3,0)</f>
        <v>Oxleas</v>
      </c>
    </row>
    <row r="209" spans="1:54" x14ac:dyDescent="0.35">
      <c r="A209" s="2" t="s">
        <v>518</v>
      </c>
      <c r="B209" s="2" t="s">
        <v>142</v>
      </c>
      <c r="C209" s="2" t="s">
        <v>143</v>
      </c>
      <c r="D209" s="2" t="s">
        <v>190</v>
      </c>
      <c r="E209" s="2" t="s">
        <v>42</v>
      </c>
      <c r="F209" s="2">
        <v>445</v>
      </c>
      <c r="G209" s="2">
        <v>190</v>
      </c>
      <c r="H209" s="14" t="str">
        <f>VLOOKUP(flu_group[[#This Row],[trust_code]],trust_lookup[],3,0)</f>
        <v>NELFT</v>
      </c>
      <c r="I209" s="14" t="str">
        <f>VLOOKUP(flu_group[[#This Row],[trust_code]],trust_lookup[],4,0)</f>
        <v>Mental Health &amp; Community</v>
      </c>
      <c r="K209" s="2" t="s">
        <v>518</v>
      </c>
      <c r="L209" s="2" t="s">
        <v>142</v>
      </c>
      <c r="M209" s="2" t="s">
        <v>143</v>
      </c>
      <c r="N209" s="2" t="s">
        <v>190</v>
      </c>
      <c r="O209" s="2" t="s">
        <v>129</v>
      </c>
      <c r="P209" s="2">
        <v>12</v>
      </c>
      <c r="R209" s="43">
        <v>45607</v>
      </c>
      <c r="S209" s="2">
        <v>46</v>
      </c>
      <c r="T209" s="2" t="s">
        <v>519</v>
      </c>
      <c r="U209" s="2" t="s">
        <v>76</v>
      </c>
      <c r="V209" s="2" t="s">
        <v>77</v>
      </c>
      <c r="W209" s="2" t="s">
        <v>194</v>
      </c>
      <c r="X209" s="23">
        <v>168</v>
      </c>
      <c r="Y209" s="23">
        <v>1597</v>
      </c>
      <c r="Z209" s="23">
        <v>5931</v>
      </c>
      <c r="AA209" s="24">
        <v>0.26926319339065902</v>
      </c>
      <c r="AB209" s="14" t="str">
        <f>VLOOKUP(flu_aw24[[#This Row],[trust_code]],trust_lookup[],3,0)</f>
        <v>Epsom</v>
      </c>
      <c r="AD209" s="43">
        <v>46034</v>
      </c>
      <c r="AE209" s="2">
        <v>3</v>
      </c>
      <c r="AF209" s="2" t="s">
        <v>518</v>
      </c>
      <c r="AG209" s="2" t="s">
        <v>30</v>
      </c>
      <c r="AH209" s="2" t="s">
        <v>31</v>
      </c>
      <c r="AI209" s="2" t="s">
        <v>190</v>
      </c>
      <c r="AJ209" s="23">
        <v>50</v>
      </c>
      <c r="AK209" s="23">
        <v>2579</v>
      </c>
      <c r="AL209" s="23">
        <v>6933</v>
      </c>
      <c r="AM209" s="24">
        <v>0.37198903793451599</v>
      </c>
      <c r="AN209" s="44" t="str">
        <f>VLOOKUP(flu_aw25[[#This Row],[trust_code]],trust_lookup[],3,0)</f>
        <v>BHR</v>
      </c>
      <c r="AW209" s="2" t="s">
        <v>152</v>
      </c>
      <c r="AX209" s="2" t="s">
        <v>153</v>
      </c>
      <c r="AY209" s="2" t="s">
        <v>654</v>
      </c>
      <c r="AZ209" s="2">
        <v>324</v>
      </c>
      <c r="BA209" s="2">
        <v>120</v>
      </c>
      <c r="BB209" s="44" t="str">
        <f>VLOOKUP(age_group[[#This Row],[trust_code]],trust_lookup[],3,0)</f>
        <v>Oxleas</v>
      </c>
    </row>
    <row r="210" spans="1:54" x14ac:dyDescent="0.35">
      <c r="A210" s="2" t="s">
        <v>518</v>
      </c>
      <c r="B210" s="2" t="s">
        <v>167</v>
      </c>
      <c r="C210" s="2" t="s">
        <v>168</v>
      </c>
      <c r="D210" s="2" t="s">
        <v>194</v>
      </c>
      <c r="E210" s="2" t="s">
        <v>42</v>
      </c>
      <c r="F210" s="2">
        <v>207</v>
      </c>
      <c r="G210" s="2">
        <v>113</v>
      </c>
      <c r="H210" s="14" t="str">
        <f>VLOOKUP(flu_group[[#This Row],[trust_code]],trust_lookup[],3,0)</f>
        <v>SWL&amp;StG</v>
      </c>
      <c r="I210" s="14" t="str">
        <f>VLOOKUP(flu_group[[#This Row],[trust_code]],trust_lookup[],4,0)</f>
        <v>Mental Health</v>
      </c>
      <c r="K210" s="2" t="s">
        <v>518</v>
      </c>
      <c r="L210" s="2" t="s">
        <v>142</v>
      </c>
      <c r="M210" s="2" t="s">
        <v>143</v>
      </c>
      <c r="N210" s="2" t="s">
        <v>190</v>
      </c>
      <c r="O210" s="2" t="s">
        <v>47</v>
      </c>
      <c r="P210" s="2">
        <v>23</v>
      </c>
      <c r="R210" s="43">
        <v>45614</v>
      </c>
      <c r="S210" s="2">
        <v>47</v>
      </c>
      <c r="T210" s="2" t="s">
        <v>519</v>
      </c>
      <c r="U210" s="2" t="s">
        <v>76</v>
      </c>
      <c r="V210" s="2" t="s">
        <v>77</v>
      </c>
      <c r="W210" s="2" t="s">
        <v>194</v>
      </c>
      <c r="X210" s="23">
        <v>165</v>
      </c>
      <c r="Y210" s="23">
        <v>1762</v>
      </c>
      <c r="Z210" s="23">
        <v>5931</v>
      </c>
      <c r="AA210" s="24">
        <v>0.29708312257629399</v>
      </c>
      <c r="AB210" s="14" t="str">
        <f>VLOOKUP(flu_aw24[[#This Row],[trust_code]],trust_lookup[],3,0)</f>
        <v>Epsom</v>
      </c>
      <c r="AD210" s="43">
        <v>46041</v>
      </c>
      <c r="AE210" s="2">
        <v>4</v>
      </c>
      <c r="AF210" s="2" t="s">
        <v>518</v>
      </c>
      <c r="AG210" s="2" t="s">
        <v>30</v>
      </c>
      <c r="AH210" s="2" t="s">
        <v>31</v>
      </c>
      <c r="AI210" s="2" t="s">
        <v>190</v>
      </c>
      <c r="AJ210" s="23">
        <v>34</v>
      </c>
      <c r="AK210" s="23">
        <v>2613</v>
      </c>
      <c r="AL210" s="23">
        <v>6933</v>
      </c>
      <c r="AM210" s="24">
        <v>0.37689311986153101</v>
      </c>
      <c r="AN210" s="44" t="str">
        <f>VLOOKUP(flu_aw25[[#This Row],[trust_code]],trust_lookup[],3,0)</f>
        <v>BHR</v>
      </c>
      <c r="AW210" s="2" t="s">
        <v>152</v>
      </c>
      <c r="AX210" s="2" t="s">
        <v>153</v>
      </c>
      <c r="AY210" s="2" t="s">
        <v>655</v>
      </c>
      <c r="AZ210" s="2">
        <v>434</v>
      </c>
      <c r="BA210" s="2">
        <v>150</v>
      </c>
      <c r="BB210" s="44" t="str">
        <f>VLOOKUP(age_group[[#This Row],[trust_code]],trust_lookup[],3,0)</f>
        <v>Oxleas</v>
      </c>
    </row>
    <row r="211" spans="1:54" x14ac:dyDescent="0.35">
      <c r="A211" s="2" t="s">
        <v>518</v>
      </c>
      <c r="B211" s="2" t="s">
        <v>118</v>
      </c>
      <c r="C211" s="2" t="s">
        <v>119</v>
      </c>
      <c r="D211" s="2" t="s">
        <v>193</v>
      </c>
      <c r="E211" s="2" t="s">
        <v>42</v>
      </c>
      <c r="F211" s="2">
        <v>1256</v>
      </c>
      <c r="G211" s="2">
        <v>589</v>
      </c>
      <c r="H211" s="14" t="str">
        <f>VLOOKUP(flu_group[[#This Row],[trust_code]],trust_lookup[],3,0)</f>
        <v>L&amp;G</v>
      </c>
      <c r="I211" s="14" t="str">
        <f>VLOOKUP(flu_group[[#This Row],[trust_code]],trust_lookup[],4,0)</f>
        <v>Acute</v>
      </c>
      <c r="K211" s="2" t="s">
        <v>518</v>
      </c>
      <c r="L211" s="2" t="s">
        <v>142</v>
      </c>
      <c r="M211" s="2" t="s">
        <v>143</v>
      </c>
      <c r="N211" s="2" t="s">
        <v>190</v>
      </c>
      <c r="O211" s="2" t="s">
        <v>94</v>
      </c>
      <c r="P211" s="2">
        <v>10</v>
      </c>
      <c r="R211" s="43">
        <v>45621</v>
      </c>
      <c r="S211" s="2">
        <v>48</v>
      </c>
      <c r="T211" s="2" t="s">
        <v>519</v>
      </c>
      <c r="U211" s="2" t="s">
        <v>76</v>
      </c>
      <c r="V211" s="2" t="s">
        <v>77</v>
      </c>
      <c r="W211" s="2" t="s">
        <v>194</v>
      </c>
      <c r="X211" s="23">
        <v>122</v>
      </c>
      <c r="Y211" s="23">
        <v>1884</v>
      </c>
      <c r="Z211" s="23">
        <v>5931</v>
      </c>
      <c r="AA211" s="24">
        <v>0.31765300961052101</v>
      </c>
      <c r="AB211" s="14" t="str">
        <f>VLOOKUP(flu_aw24[[#This Row],[trust_code]],trust_lookup[],3,0)</f>
        <v>Epsom</v>
      </c>
      <c r="AD211" s="43">
        <v>46048</v>
      </c>
      <c r="AE211" s="2">
        <v>5</v>
      </c>
      <c r="AF211" s="2" t="s">
        <v>518</v>
      </c>
      <c r="AG211" s="2" t="s">
        <v>30</v>
      </c>
      <c r="AH211" s="2" t="s">
        <v>31</v>
      </c>
      <c r="AI211" s="2" t="s">
        <v>190</v>
      </c>
      <c r="AJ211" s="23">
        <v>37</v>
      </c>
      <c r="AK211" s="23">
        <v>2650</v>
      </c>
      <c r="AL211" s="23">
        <v>6933</v>
      </c>
      <c r="AM211" s="24">
        <v>0.382229914899754</v>
      </c>
      <c r="AN211" s="44" t="str">
        <f>VLOOKUP(flu_aw25[[#This Row],[trust_code]],trust_lookup[],3,0)</f>
        <v>BHR</v>
      </c>
      <c r="AW211" s="2" t="s">
        <v>152</v>
      </c>
      <c r="AX211" s="2" t="s">
        <v>153</v>
      </c>
      <c r="AY211" s="2" t="s">
        <v>656</v>
      </c>
      <c r="AZ211" s="2">
        <v>459</v>
      </c>
      <c r="BA211" s="2">
        <v>165</v>
      </c>
      <c r="BB211" s="44" t="str">
        <f>VLOOKUP(age_group[[#This Row],[trust_code]],trust_lookup[],3,0)</f>
        <v>Oxleas</v>
      </c>
    </row>
    <row r="212" spans="1:54" x14ac:dyDescent="0.35">
      <c r="A212" s="2" t="s">
        <v>518</v>
      </c>
      <c r="B212" s="2" t="s">
        <v>55</v>
      </c>
      <c r="C212" s="2" t="s">
        <v>56</v>
      </c>
      <c r="D212" s="2" t="s">
        <v>192</v>
      </c>
      <c r="E212" s="2" t="s">
        <v>42</v>
      </c>
      <c r="F212" s="2">
        <v>1377</v>
      </c>
      <c r="G212" s="2">
        <v>731</v>
      </c>
      <c r="H212" s="14" t="str">
        <f>VLOOKUP(flu_group[[#This Row],[trust_code]],trust_lookup[],3,0)</f>
        <v>ChelWest</v>
      </c>
      <c r="I212" s="14" t="str">
        <f>VLOOKUP(flu_group[[#This Row],[trust_code]],trust_lookup[],4,0)</f>
        <v>Acute</v>
      </c>
      <c r="K212" s="2" t="s">
        <v>518</v>
      </c>
      <c r="L212" s="2" t="s">
        <v>142</v>
      </c>
      <c r="M212" s="2" t="s">
        <v>143</v>
      </c>
      <c r="N212" s="2" t="s">
        <v>190</v>
      </c>
      <c r="O212" s="2" t="s">
        <v>29</v>
      </c>
      <c r="P212" s="2">
        <v>16</v>
      </c>
      <c r="R212" s="43">
        <v>45628</v>
      </c>
      <c r="S212" s="2">
        <v>49</v>
      </c>
      <c r="T212" s="2" t="s">
        <v>519</v>
      </c>
      <c r="U212" s="2" t="s">
        <v>76</v>
      </c>
      <c r="V212" s="2" t="s">
        <v>77</v>
      </c>
      <c r="W212" s="2" t="s">
        <v>194</v>
      </c>
      <c r="X212" s="23">
        <v>80</v>
      </c>
      <c r="Y212" s="23">
        <v>1964</v>
      </c>
      <c r="Z212" s="23">
        <v>5931</v>
      </c>
      <c r="AA212" s="24">
        <v>0.33114146012476797</v>
      </c>
      <c r="AB212" s="14" t="str">
        <f>VLOOKUP(flu_aw24[[#This Row],[trust_code]],trust_lookup[],3,0)</f>
        <v>Epsom</v>
      </c>
      <c r="AD212" s="43">
        <v>46055</v>
      </c>
      <c r="AE212" s="2">
        <v>6</v>
      </c>
      <c r="AF212" s="2" t="s">
        <v>518</v>
      </c>
      <c r="AG212" s="2" t="s">
        <v>30</v>
      </c>
      <c r="AH212" s="2" t="s">
        <v>31</v>
      </c>
      <c r="AI212" s="2" t="s">
        <v>190</v>
      </c>
      <c r="AJ212" s="23">
        <v>21</v>
      </c>
      <c r="AK212" s="23">
        <v>2671</v>
      </c>
      <c r="AL212" s="23">
        <v>6933</v>
      </c>
      <c r="AM212" s="24">
        <v>0.385258906678205</v>
      </c>
      <c r="AN212" s="44" t="str">
        <f>VLOOKUP(flu_aw25[[#This Row],[trust_code]],trust_lookup[],3,0)</f>
        <v>BHR</v>
      </c>
      <c r="AW212" s="2" t="s">
        <v>152</v>
      </c>
      <c r="AX212" s="2" t="s">
        <v>153</v>
      </c>
      <c r="AY212" s="2" t="s">
        <v>657</v>
      </c>
      <c r="AZ212" s="2">
        <v>438</v>
      </c>
      <c r="BA212" s="2">
        <v>187</v>
      </c>
      <c r="BB212" s="44" t="str">
        <f>VLOOKUP(age_group[[#This Row],[trust_code]],trust_lookup[],3,0)</f>
        <v>Oxleas</v>
      </c>
    </row>
    <row r="213" spans="1:54" x14ac:dyDescent="0.35">
      <c r="A213" s="2" t="s">
        <v>518</v>
      </c>
      <c r="B213" s="2" t="s">
        <v>124</v>
      </c>
      <c r="C213" s="2" t="s">
        <v>125</v>
      </c>
      <c r="D213" s="2" t="s">
        <v>192</v>
      </c>
      <c r="E213" s="2" t="s">
        <v>42</v>
      </c>
      <c r="F213" s="2">
        <v>4</v>
      </c>
      <c r="G213" s="2">
        <v>3</v>
      </c>
      <c r="H213" s="14" t="str">
        <f>VLOOKUP(flu_group[[#This Row],[trust_code]],trust_lookup[],3,0)</f>
        <v>LAS</v>
      </c>
      <c r="I213" s="14" t="str">
        <f>VLOOKUP(flu_group[[#This Row],[trust_code]],trust_lookup[],4,0)</f>
        <v>Ambulance</v>
      </c>
      <c r="K213" s="2" t="s">
        <v>518</v>
      </c>
      <c r="L213" s="2" t="s">
        <v>142</v>
      </c>
      <c r="M213" s="2" t="s">
        <v>143</v>
      </c>
      <c r="N213" s="2" t="s">
        <v>190</v>
      </c>
      <c r="O213" s="2" t="s">
        <v>123</v>
      </c>
      <c r="P213" s="2">
        <v>128</v>
      </c>
      <c r="R213" s="43">
        <v>45635</v>
      </c>
      <c r="S213" s="2">
        <v>50</v>
      </c>
      <c r="T213" s="2" t="s">
        <v>519</v>
      </c>
      <c r="U213" s="2" t="s">
        <v>76</v>
      </c>
      <c r="V213" s="2" t="s">
        <v>77</v>
      </c>
      <c r="W213" s="2" t="s">
        <v>194</v>
      </c>
      <c r="X213" s="23">
        <v>70</v>
      </c>
      <c r="Y213" s="23">
        <v>2034</v>
      </c>
      <c r="Z213" s="23">
        <v>5931</v>
      </c>
      <c r="AA213" s="24">
        <v>0.34294385432473401</v>
      </c>
      <c r="AB213" s="14" t="str">
        <f>VLOOKUP(flu_aw24[[#This Row],[trust_code]],trust_lookup[],3,0)</f>
        <v>Epsom</v>
      </c>
      <c r="AD213" s="43">
        <v>46062</v>
      </c>
      <c r="AE213" s="2">
        <v>7</v>
      </c>
      <c r="AF213" s="2" t="s">
        <v>518</v>
      </c>
      <c r="AG213" s="2" t="s">
        <v>30</v>
      </c>
      <c r="AH213" s="2" t="s">
        <v>31</v>
      </c>
      <c r="AI213" s="2" t="s">
        <v>190</v>
      </c>
      <c r="AJ213" s="23">
        <v>31</v>
      </c>
      <c r="AK213" s="23">
        <v>2702</v>
      </c>
      <c r="AL213" s="23">
        <v>6933</v>
      </c>
      <c r="AM213" s="24">
        <v>0.38973027549401401</v>
      </c>
      <c r="AN213" s="44" t="str">
        <f>VLOOKUP(flu_aw25[[#This Row],[trust_code]],trust_lookup[],3,0)</f>
        <v>BHR</v>
      </c>
      <c r="AW213" s="2" t="s">
        <v>152</v>
      </c>
      <c r="AX213" s="2" t="s">
        <v>153</v>
      </c>
      <c r="AY213" s="2" t="s">
        <v>658</v>
      </c>
      <c r="AZ213" s="2">
        <v>273</v>
      </c>
      <c r="BA213" s="2">
        <v>138</v>
      </c>
      <c r="BB213" s="44" t="str">
        <f>VLOOKUP(age_group[[#This Row],[trust_code]],trust_lookup[],3,0)</f>
        <v>Oxleas</v>
      </c>
    </row>
    <row r="214" spans="1:54" x14ac:dyDescent="0.35">
      <c r="A214" s="2" t="s">
        <v>518</v>
      </c>
      <c r="B214" s="2" t="s">
        <v>185</v>
      </c>
      <c r="C214" s="2" t="s">
        <v>186</v>
      </c>
      <c r="D214" s="2" t="s">
        <v>27</v>
      </c>
      <c r="E214" s="2" t="s">
        <v>53</v>
      </c>
      <c r="F214" s="2">
        <v>1067</v>
      </c>
      <c r="G214" s="2">
        <v>399</v>
      </c>
      <c r="H214" s="14" t="str">
        <f>VLOOKUP(flu_group[[#This Row],[trust_code]],trust_lookup[],3,0)</f>
        <v>Whittington</v>
      </c>
      <c r="I214" s="14" t="str">
        <f>VLOOKUP(flu_group[[#This Row],[trust_code]],trust_lookup[],4,0)</f>
        <v>Acute &amp; Community</v>
      </c>
      <c r="K214" s="2" t="s">
        <v>518</v>
      </c>
      <c r="L214" s="2" t="s">
        <v>142</v>
      </c>
      <c r="M214" s="2" t="s">
        <v>143</v>
      </c>
      <c r="N214" s="2" t="s">
        <v>190</v>
      </c>
      <c r="O214" s="2" t="s">
        <v>82</v>
      </c>
      <c r="P214" s="2">
        <v>42</v>
      </c>
      <c r="R214" s="43">
        <v>45642</v>
      </c>
      <c r="S214" s="2">
        <v>51</v>
      </c>
      <c r="T214" s="2" t="s">
        <v>519</v>
      </c>
      <c r="U214" s="2" t="s">
        <v>76</v>
      </c>
      <c r="V214" s="2" t="s">
        <v>77</v>
      </c>
      <c r="W214" s="2" t="s">
        <v>194</v>
      </c>
      <c r="X214" s="23">
        <v>100</v>
      </c>
      <c r="Y214" s="23">
        <v>2134</v>
      </c>
      <c r="Z214" s="23">
        <v>5931</v>
      </c>
      <c r="AA214" s="24">
        <v>0.35980441746754299</v>
      </c>
      <c r="AB214" s="14" t="str">
        <f>VLOOKUP(flu_aw24[[#This Row],[trust_code]],trust_lookup[],3,0)</f>
        <v>Epsom</v>
      </c>
      <c r="AD214" s="43">
        <v>46069</v>
      </c>
      <c r="AE214" s="2">
        <v>8</v>
      </c>
      <c r="AF214" s="2" t="s">
        <v>518</v>
      </c>
      <c r="AG214" s="2" t="s">
        <v>30</v>
      </c>
      <c r="AH214" s="2" t="s">
        <v>31</v>
      </c>
      <c r="AI214" s="2" t="s">
        <v>190</v>
      </c>
      <c r="AJ214" s="23">
        <v>11</v>
      </c>
      <c r="AK214" s="23">
        <v>2713</v>
      </c>
      <c r="AL214" s="23">
        <v>6933</v>
      </c>
      <c r="AM214" s="24">
        <v>0.39131689023510702</v>
      </c>
      <c r="AN214" s="44" t="str">
        <f>VLOOKUP(flu_aw25[[#This Row],[trust_code]],trust_lookup[],3,0)</f>
        <v>BHR</v>
      </c>
      <c r="AW214" s="2" t="s">
        <v>152</v>
      </c>
      <c r="AX214" s="2" t="s">
        <v>153</v>
      </c>
      <c r="AY214" s="2" t="s">
        <v>659</v>
      </c>
      <c r="AZ214" s="2">
        <v>123</v>
      </c>
      <c r="BA214" s="2">
        <v>72</v>
      </c>
      <c r="BB214" s="44" t="str">
        <f>VLOOKUP(age_group[[#This Row],[trust_code]],trust_lookup[],3,0)</f>
        <v>Oxleas</v>
      </c>
    </row>
    <row r="215" spans="1:54" x14ac:dyDescent="0.35">
      <c r="A215" s="2" t="s">
        <v>518</v>
      </c>
      <c r="B215" s="2" t="s">
        <v>89</v>
      </c>
      <c r="C215" s="2" t="s">
        <v>90</v>
      </c>
      <c r="D215" s="2" t="s">
        <v>193</v>
      </c>
      <c r="E215" s="2" t="s">
        <v>53</v>
      </c>
      <c r="F215" s="2">
        <v>6220</v>
      </c>
      <c r="G215" s="2">
        <v>2706</v>
      </c>
      <c r="H215" s="14" t="str">
        <f>VLOOKUP(flu_group[[#This Row],[trust_code]],trust_lookup[],3,0)</f>
        <v>GSTT</v>
      </c>
      <c r="I215" s="14" t="str">
        <f>VLOOKUP(flu_group[[#This Row],[trust_code]],trust_lookup[],4,0)</f>
        <v>Acute</v>
      </c>
      <c r="K215" s="2" t="s">
        <v>518</v>
      </c>
      <c r="L215" s="2" t="s">
        <v>142</v>
      </c>
      <c r="M215" s="2" t="s">
        <v>143</v>
      </c>
      <c r="N215" s="2" t="s">
        <v>190</v>
      </c>
      <c r="O215" s="2" t="s">
        <v>88</v>
      </c>
      <c r="P215" s="2">
        <v>29</v>
      </c>
      <c r="R215" s="43">
        <v>45649</v>
      </c>
      <c r="S215" s="2">
        <v>52</v>
      </c>
      <c r="T215" s="2" t="s">
        <v>519</v>
      </c>
      <c r="U215" s="2" t="s">
        <v>76</v>
      </c>
      <c r="V215" s="2" t="s">
        <v>77</v>
      </c>
      <c r="W215" s="2" t="s">
        <v>194</v>
      </c>
      <c r="X215" s="23">
        <v>2</v>
      </c>
      <c r="Y215" s="23">
        <v>2136</v>
      </c>
      <c r="Z215" s="23">
        <v>5931</v>
      </c>
      <c r="AA215" s="24">
        <v>0.36014162873039901</v>
      </c>
      <c r="AB215" s="14" t="str">
        <f>VLOOKUP(flu_aw24[[#This Row],[trust_code]],trust_lookup[],3,0)</f>
        <v>Epsom</v>
      </c>
      <c r="AD215" s="43">
        <v>46076</v>
      </c>
      <c r="AE215" s="2">
        <v>9</v>
      </c>
      <c r="AF215" s="2" t="s">
        <v>518</v>
      </c>
      <c r="AG215" s="2" t="s">
        <v>30</v>
      </c>
      <c r="AH215" s="2" t="s">
        <v>31</v>
      </c>
      <c r="AI215" s="2" t="s">
        <v>190</v>
      </c>
      <c r="AJ215" s="23">
        <v>19</v>
      </c>
      <c r="AK215" s="23">
        <v>2732</v>
      </c>
      <c r="AL215" s="23">
        <v>6933</v>
      </c>
      <c r="AM215" s="24">
        <v>0.39405740660608601</v>
      </c>
      <c r="AN215" s="44" t="str">
        <f>VLOOKUP(flu_aw25[[#This Row],[trust_code]],trust_lookup[],3,0)</f>
        <v>BHR</v>
      </c>
      <c r="AW215" s="2" t="s">
        <v>157</v>
      </c>
      <c r="AX215" s="2" t="s">
        <v>158</v>
      </c>
      <c r="AY215" s="2" t="s">
        <v>650</v>
      </c>
      <c r="AZ215" s="2">
        <v>881</v>
      </c>
      <c r="BA215" s="2">
        <v>211</v>
      </c>
      <c r="BB215" s="44" t="str">
        <f>VLOOKUP(age_group[[#This Row],[trust_code]],trust_lookup[],3,0)</f>
        <v>Royal Free</v>
      </c>
    </row>
    <row r="216" spans="1:54" x14ac:dyDescent="0.35">
      <c r="A216" s="2" t="s">
        <v>518</v>
      </c>
      <c r="B216" s="2" t="s">
        <v>167</v>
      </c>
      <c r="C216" s="2" t="s">
        <v>168</v>
      </c>
      <c r="D216" s="2" t="s">
        <v>194</v>
      </c>
      <c r="E216" s="2" t="s">
        <v>53</v>
      </c>
      <c r="F216" s="2">
        <v>802</v>
      </c>
      <c r="G216" s="2">
        <v>272</v>
      </c>
      <c r="H216" s="14" t="str">
        <f>VLOOKUP(flu_group[[#This Row],[trust_code]],trust_lookup[],3,0)</f>
        <v>SWL&amp;StG</v>
      </c>
      <c r="I216" s="14" t="str">
        <f>VLOOKUP(flu_group[[#This Row],[trust_code]],trust_lookup[],4,0)</f>
        <v>Mental Health</v>
      </c>
      <c r="K216" s="2" t="s">
        <v>518</v>
      </c>
      <c r="L216" s="2" t="s">
        <v>142</v>
      </c>
      <c r="M216" s="2" t="s">
        <v>143</v>
      </c>
      <c r="N216" s="2" t="s">
        <v>190</v>
      </c>
      <c r="O216" s="2" t="s">
        <v>141</v>
      </c>
      <c r="P216" s="2">
        <v>79</v>
      </c>
      <c r="R216" s="43">
        <v>45656</v>
      </c>
      <c r="S216" s="2">
        <v>1</v>
      </c>
      <c r="T216" s="2" t="s">
        <v>519</v>
      </c>
      <c r="U216" s="2" t="s">
        <v>76</v>
      </c>
      <c r="V216" s="2" t="s">
        <v>77</v>
      </c>
      <c r="W216" s="2" t="s">
        <v>194</v>
      </c>
      <c r="X216" s="23">
        <v>10</v>
      </c>
      <c r="Y216" s="23">
        <v>2146</v>
      </c>
      <c r="Z216" s="23">
        <v>5931</v>
      </c>
      <c r="AA216" s="24">
        <v>0.36182768504467999</v>
      </c>
      <c r="AB216" s="14" t="str">
        <f>VLOOKUP(flu_aw24[[#This Row],[trust_code]],trust_lookup[],3,0)</f>
        <v>Epsom</v>
      </c>
      <c r="AD216" s="43">
        <v>45901</v>
      </c>
      <c r="AE216" s="2">
        <v>36</v>
      </c>
      <c r="AF216" s="2" t="s">
        <v>518</v>
      </c>
      <c r="AG216" s="2" t="s">
        <v>176</v>
      </c>
      <c r="AH216" s="2" t="s">
        <v>177</v>
      </c>
      <c r="AI216" s="2" t="s">
        <v>192</v>
      </c>
      <c r="AJ216" s="23">
        <v>1</v>
      </c>
      <c r="AK216" s="23">
        <v>1</v>
      </c>
      <c r="AL216" s="23">
        <v>3046</v>
      </c>
      <c r="AM216" s="24">
        <v>3.2829940906106301E-4</v>
      </c>
      <c r="AN216" s="44" t="str">
        <f>VLOOKUP(flu_aw25[[#This Row],[trust_code]],trust_lookup[],3,0)</f>
        <v>Hillingdon</v>
      </c>
      <c r="AW216" s="2" t="s">
        <v>157</v>
      </c>
      <c r="AX216" s="2" t="s">
        <v>158</v>
      </c>
      <c r="AY216" s="2" t="s">
        <v>651</v>
      </c>
      <c r="AZ216" s="2">
        <v>3023</v>
      </c>
      <c r="BA216" s="2">
        <v>1060</v>
      </c>
      <c r="BB216" s="44" t="str">
        <f>VLOOKUP(age_group[[#This Row],[trust_code]],trust_lookup[],3,0)</f>
        <v>Royal Free</v>
      </c>
    </row>
    <row r="217" spans="1:54" x14ac:dyDescent="0.35">
      <c r="A217" s="2" t="s">
        <v>518</v>
      </c>
      <c r="B217" s="2" t="s">
        <v>107</v>
      </c>
      <c r="C217" s="2" t="s">
        <v>108</v>
      </c>
      <c r="D217" s="2" t="s">
        <v>193</v>
      </c>
      <c r="E217" s="2" t="s">
        <v>53</v>
      </c>
      <c r="F217" s="2">
        <v>3990</v>
      </c>
      <c r="G217" s="2">
        <v>1826</v>
      </c>
      <c r="H217" s="14" t="str">
        <f>VLOOKUP(flu_group[[#This Row],[trust_code]],trust_lookup[],3,0)</f>
        <v>King's</v>
      </c>
      <c r="I217" s="14" t="str">
        <f>VLOOKUP(flu_group[[#This Row],[trust_code]],trust_lookup[],4,0)</f>
        <v>Acute</v>
      </c>
      <c r="K217" s="2" t="s">
        <v>518</v>
      </c>
      <c r="L217" s="2" t="s">
        <v>142</v>
      </c>
      <c r="M217" s="2" t="s">
        <v>143</v>
      </c>
      <c r="N217" s="2" t="s">
        <v>190</v>
      </c>
      <c r="O217" s="2" t="s">
        <v>61</v>
      </c>
      <c r="P217" s="2">
        <v>31</v>
      </c>
      <c r="R217" s="43">
        <v>45663</v>
      </c>
      <c r="S217" s="2">
        <v>2</v>
      </c>
      <c r="T217" s="2" t="s">
        <v>519</v>
      </c>
      <c r="U217" s="2" t="s">
        <v>76</v>
      </c>
      <c r="V217" s="2" t="s">
        <v>77</v>
      </c>
      <c r="W217" s="2" t="s">
        <v>194</v>
      </c>
      <c r="X217" s="23">
        <v>66</v>
      </c>
      <c r="Y217" s="23">
        <v>2212</v>
      </c>
      <c r="Z217" s="23">
        <v>5931</v>
      </c>
      <c r="AA217" s="24">
        <v>0.37295565671893399</v>
      </c>
      <c r="AB217" s="14" t="str">
        <f>VLOOKUP(flu_aw24[[#This Row],[trust_code]],trust_lookup[],3,0)</f>
        <v>Epsom</v>
      </c>
      <c r="AD217" s="43">
        <v>45915</v>
      </c>
      <c r="AE217" s="2">
        <v>38</v>
      </c>
      <c r="AF217" s="2" t="s">
        <v>518</v>
      </c>
      <c r="AG217" s="2" t="s">
        <v>176</v>
      </c>
      <c r="AH217" s="2" t="s">
        <v>177</v>
      </c>
      <c r="AI217" s="2" t="s">
        <v>192</v>
      </c>
      <c r="AJ217" s="23">
        <v>5</v>
      </c>
      <c r="AK217" s="23">
        <v>6</v>
      </c>
      <c r="AL217" s="23">
        <v>3046</v>
      </c>
      <c r="AM217" s="24">
        <v>1.9697964543663798E-3</v>
      </c>
      <c r="AN217" s="44" t="str">
        <f>VLOOKUP(flu_aw25[[#This Row],[trust_code]],trust_lookup[],3,0)</f>
        <v>Hillingdon</v>
      </c>
      <c r="AW217" s="2" t="s">
        <v>157</v>
      </c>
      <c r="AX217" s="2" t="s">
        <v>158</v>
      </c>
      <c r="AY217" s="2" t="s">
        <v>652</v>
      </c>
      <c r="AZ217" s="2">
        <v>3197</v>
      </c>
      <c r="BA217" s="2">
        <v>1107</v>
      </c>
      <c r="BB217" s="44" t="str">
        <f>VLOOKUP(age_group[[#This Row],[trust_code]],trust_lookup[],3,0)</f>
        <v>Royal Free</v>
      </c>
    </row>
    <row r="218" spans="1:54" x14ac:dyDescent="0.35">
      <c r="A218" s="2" t="s">
        <v>518</v>
      </c>
      <c r="B218" s="2" t="s">
        <v>37</v>
      </c>
      <c r="C218" s="2" t="s">
        <v>38</v>
      </c>
      <c r="D218" s="2" t="s">
        <v>190</v>
      </c>
      <c r="E218" s="2" t="s">
        <v>53</v>
      </c>
      <c r="F218" s="2">
        <v>5891</v>
      </c>
      <c r="G218" s="2">
        <v>1928</v>
      </c>
      <c r="H218" s="14" t="str">
        <f>VLOOKUP(flu_group[[#This Row],[trust_code]],trust_lookup[],3,0)</f>
        <v>Barts</v>
      </c>
      <c r="I218" s="14" t="str">
        <f>VLOOKUP(flu_group[[#This Row],[trust_code]],trust_lookup[],4,0)</f>
        <v>Acute</v>
      </c>
      <c r="K218" s="2" t="s">
        <v>518</v>
      </c>
      <c r="L218" s="2" t="s">
        <v>142</v>
      </c>
      <c r="M218" s="2" t="s">
        <v>143</v>
      </c>
      <c r="N218" s="2" t="s">
        <v>190</v>
      </c>
      <c r="O218" s="2" t="s">
        <v>100</v>
      </c>
      <c r="P218" s="2">
        <v>346</v>
      </c>
      <c r="R218" s="43">
        <v>45670</v>
      </c>
      <c r="S218" s="2">
        <v>3</v>
      </c>
      <c r="T218" s="2" t="s">
        <v>519</v>
      </c>
      <c r="U218" s="2" t="s">
        <v>76</v>
      </c>
      <c r="V218" s="2" t="s">
        <v>77</v>
      </c>
      <c r="W218" s="2" t="s">
        <v>194</v>
      </c>
      <c r="X218" s="23">
        <v>52</v>
      </c>
      <c r="Y218" s="23">
        <v>2264</v>
      </c>
      <c r="Z218" s="23">
        <v>5931</v>
      </c>
      <c r="AA218" s="24">
        <v>0.38172314955319497</v>
      </c>
      <c r="AB218" s="14" t="str">
        <f>VLOOKUP(flu_aw24[[#This Row],[trust_code]],trust_lookup[],3,0)</f>
        <v>Epsom</v>
      </c>
      <c r="AD218" s="43">
        <v>45922</v>
      </c>
      <c r="AE218" s="2">
        <v>39</v>
      </c>
      <c r="AF218" s="2" t="s">
        <v>518</v>
      </c>
      <c r="AG218" s="2" t="s">
        <v>176</v>
      </c>
      <c r="AH218" s="2" t="s">
        <v>177</v>
      </c>
      <c r="AI218" s="2" t="s">
        <v>192</v>
      </c>
      <c r="AJ218" s="23">
        <v>5</v>
      </c>
      <c r="AK218" s="23">
        <v>11</v>
      </c>
      <c r="AL218" s="23">
        <v>3046</v>
      </c>
      <c r="AM218" s="24">
        <v>3.6112934996717001E-3</v>
      </c>
      <c r="AN218" s="44" t="str">
        <f>VLOOKUP(flu_aw25[[#This Row],[trust_code]],trust_lookup[],3,0)</f>
        <v>Hillingdon</v>
      </c>
      <c r="AW218" s="2" t="s">
        <v>157</v>
      </c>
      <c r="AX218" s="2" t="s">
        <v>158</v>
      </c>
      <c r="AY218" s="2" t="s">
        <v>653</v>
      </c>
      <c r="AZ218" s="2">
        <v>2540</v>
      </c>
      <c r="BA218" s="2">
        <v>874</v>
      </c>
      <c r="BB218" s="44" t="str">
        <f>VLOOKUP(age_group[[#This Row],[trust_code]],trust_lookup[],3,0)</f>
        <v>Royal Free</v>
      </c>
    </row>
    <row r="219" spans="1:54" x14ac:dyDescent="0.35">
      <c r="A219" s="2" t="s">
        <v>518</v>
      </c>
      <c r="B219" s="2" t="s">
        <v>142</v>
      </c>
      <c r="C219" s="2" t="s">
        <v>143</v>
      </c>
      <c r="D219" s="2" t="s">
        <v>190</v>
      </c>
      <c r="E219" s="2" t="s">
        <v>53</v>
      </c>
      <c r="F219" s="2">
        <v>2226</v>
      </c>
      <c r="G219" s="2">
        <v>701</v>
      </c>
      <c r="H219" s="14" t="str">
        <f>VLOOKUP(flu_group[[#This Row],[trust_code]],trust_lookup[],3,0)</f>
        <v>NELFT</v>
      </c>
      <c r="I219" s="14" t="str">
        <f>VLOOKUP(flu_group[[#This Row],[trust_code]],trust_lookup[],4,0)</f>
        <v>Mental Health &amp; Community</v>
      </c>
      <c r="K219" s="2" t="s">
        <v>518</v>
      </c>
      <c r="L219" s="2" t="s">
        <v>142</v>
      </c>
      <c r="M219" s="2" t="s">
        <v>143</v>
      </c>
      <c r="N219" s="2" t="s">
        <v>190</v>
      </c>
      <c r="O219" s="2" t="s">
        <v>75</v>
      </c>
      <c r="P219" s="2">
        <v>62</v>
      </c>
      <c r="R219" s="43">
        <v>45677</v>
      </c>
      <c r="S219" s="2">
        <v>4</v>
      </c>
      <c r="T219" s="2" t="s">
        <v>519</v>
      </c>
      <c r="U219" s="2" t="s">
        <v>76</v>
      </c>
      <c r="V219" s="2" t="s">
        <v>77</v>
      </c>
      <c r="W219" s="2" t="s">
        <v>194</v>
      </c>
      <c r="X219" s="23">
        <v>47</v>
      </c>
      <c r="Y219" s="23">
        <v>2311</v>
      </c>
      <c r="Z219" s="23">
        <v>5931</v>
      </c>
      <c r="AA219" s="24">
        <v>0.38964761423031502</v>
      </c>
      <c r="AB219" s="14" t="str">
        <f>VLOOKUP(flu_aw24[[#This Row],[trust_code]],trust_lookup[],3,0)</f>
        <v>Epsom</v>
      </c>
      <c r="AD219" s="43">
        <v>45929</v>
      </c>
      <c r="AE219" s="2">
        <v>40</v>
      </c>
      <c r="AF219" s="2" t="s">
        <v>518</v>
      </c>
      <c r="AG219" s="2" t="s">
        <v>176</v>
      </c>
      <c r="AH219" s="2" t="s">
        <v>177</v>
      </c>
      <c r="AI219" s="2" t="s">
        <v>192</v>
      </c>
      <c r="AJ219" s="23">
        <v>73</v>
      </c>
      <c r="AK219" s="23">
        <v>84</v>
      </c>
      <c r="AL219" s="23">
        <v>3046</v>
      </c>
      <c r="AM219" s="24">
        <v>2.7577150361129298E-2</v>
      </c>
      <c r="AN219" s="44" t="str">
        <f>VLOOKUP(flu_aw25[[#This Row],[trust_code]],trust_lookup[],3,0)</f>
        <v>Hillingdon</v>
      </c>
      <c r="AW219" s="2" t="s">
        <v>157</v>
      </c>
      <c r="AX219" s="2" t="s">
        <v>158</v>
      </c>
      <c r="AY219" s="2" t="s">
        <v>654</v>
      </c>
      <c r="AZ219" s="2">
        <v>1946</v>
      </c>
      <c r="BA219" s="2">
        <v>682</v>
      </c>
      <c r="BB219" s="44" t="str">
        <f>VLOOKUP(age_group[[#This Row],[trust_code]],trust_lookup[],3,0)</f>
        <v>Royal Free</v>
      </c>
    </row>
    <row r="220" spans="1:54" x14ac:dyDescent="0.35">
      <c r="A220" s="2" t="s">
        <v>518</v>
      </c>
      <c r="B220" s="2" t="s">
        <v>157</v>
      </c>
      <c r="C220" s="2" t="s">
        <v>158</v>
      </c>
      <c r="D220" s="2" t="s">
        <v>27</v>
      </c>
      <c r="E220" s="2" t="s">
        <v>53</v>
      </c>
      <c r="F220" s="2">
        <v>5196</v>
      </c>
      <c r="G220" s="2">
        <v>1797</v>
      </c>
      <c r="H220" s="14" t="str">
        <f>VLOOKUP(flu_group[[#This Row],[trust_code]],trust_lookup[],3,0)</f>
        <v>Royal Free</v>
      </c>
      <c r="I220" s="14" t="str">
        <f>VLOOKUP(flu_group[[#This Row],[trust_code]],trust_lookup[],4,0)</f>
        <v>Acute</v>
      </c>
      <c r="K220" s="2" t="s">
        <v>518</v>
      </c>
      <c r="L220" s="2" t="s">
        <v>142</v>
      </c>
      <c r="M220" s="2" t="s">
        <v>143</v>
      </c>
      <c r="N220" s="2" t="s">
        <v>190</v>
      </c>
      <c r="O220" s="2" t="s">
        <v>106</v>
      </c>
      <c r="P220" s="2">
        <v>24</v>
      </c>
      <c r="R220" s="43">
        <v>45684</v>
      </c>
      <c r="S220" s="2">
        <v>5</v>
      </c>
      <c r="T220" s="2" t="s">
        <v>519</v>
      </c>
      <c r="U220" s="2" t="s">
        <v>76</v>
      </c>
      <c r="V220" s="2" t="s">
        <v>77</v>
      </c>
      <c r="W220" s="2" t="s">
        <v>194</v>
      </c>
      <c r="X220" s="23">
        <v>26</v>
      </c>
      <c r="Y220" s="23">
        <v>2337</v>
      </c>
      <c r="Z220" s="23">
        <v>5931</v>
      </c>
      <c r="AA220" s="24">
        <v>0.39403136064744498</v>
      </c>
      <c r="AB220" s="14" t="str">
        <f>VLOOKUP(flu_aw24[[#This Row],[trust_code]],trust_lookup[],3,0)</f>
        <v>Epsom</v>
      </c>
      <c r="AD220" s="43">
        <v>45936</v>
      </c>
      <c r="AE220" s="2">
        <v>41</v>
      </c>
      <c r="AF220" s="2" t="s">
        <v>518</v>
      </c>
      <c r="AG220" s="2" t="s">
        <v>176</v>
      </c>
      <c r="AH220" s="2" t="s">
        <v>177</v>
      </c>
      <c r="AI220" s="2" t="s">
        <v>192</v>
      </c>
      <c r="AJ220" s="23">
        <v>236</v>
      </c>
      <c r="AK220" s="23">
        <v>320</v>
      </c>
      <c r="AL220" s="23">
        <v>3046</v>
      </c>
      <c r="AM220" s="24">
        <v>0.10505581089954</v>
      </c>
      <c r="AN220" s="44" t="str">
        <f>VLOOKUP(flu_aw25[[#This Row],[trust_code]],trust_lookup[],3,0)</f>
        <v>Hillingdon</v>
      </c>
      <c r="AW220" s="2" t="s">
        <v>157</v>
      </c>
      <c r="AX220" s="2" t="s">
        <v>158</v>
      </c>
      <c r="AY220" s="2" t="s">
        <v>655</v>
      </c>
      <c r="AZ220" s="2">
        <v>1945</v>
      </c>
      <c r="BA220" s="2">
        <v>657</v>
      </c>
      <c r="BB220" s="44" t="str">
        <f>VLOOKUP(age_group[[#This Row],[trust_code]],trust_lookup[],3,0)</f>
        <v>Royal Free</v>
      </c>
    </row>
    <row r="221" spans="1:54" x14ac:dyDescent="0.35">
      <c r="A221" s="2" t="s">
        <v>518</v>
      </c>
      <c r="B221" s="2" t="s">
        <v>48</v>
      </c>
      <c r="C221" s="2" t="s">
        <v>49</v>
      </c>
      <c r="D221" s="2" t="s">
        <v>192</v>
      </c>
      <c r="E221" s="2" t="s">
        <v>53</v>
      </c>
      <c r="F221" s="2">
        <v>1833</v>
      </c>
      <c r="G221" s="2">
        <v>682</v>
      </c>
      <c r="H221" s="14" t="str">
        <f>VLOOKUP(flu_group[[#This Row],[trust_code]],trust_lookup[],3,0)</f>
        <v>CLCH</v>
      </c>
      <c r="I221" s="14" t="str">
        <f>VLOOKUP(flu_group[[#This Row],[trust_code]],trust_lookup[],4,0)</f>
        <v>Community</v>
      </c>
      <c r="K221" s="2" t="s">
        <v>518</v>
      </c>
      <c r="L221" s="2" t="s">
        <v>142</v>
      </c>
      <c r="M221" s="2" t="s">
        <v>143</v>
      </c>
      <c r="N221" s="2" t="s">
        <v>190</v>
      </c>
      <c r="O221" s="2" t="s">
        <v>112</v>
      </c>
      <c r="P221" s="2">
        <v>61</v>
      </c>
      <c r="R221" s="43">
        <v>45691</v>
      </c>
      <c r="S221" s="2">
        <v>6</v>
      </c>
      <c r="T221" s="2" t="s">
        <v>519</v>
      </c>
      <c r="U221" s="2" t="s">
        <v>76</v>
      </c>
      <c r="V221" s="2" t="s">
        <v>77</v>
      </c>
      <c r="W221" s="2" t="s">
        <v>194</v>
      </c>
      <c r="X221" s="23">
        <v>9</v>
      </c>
      <c r="Y221" s="23">
        <v>2346</v>
      </c>
      <c r="Z221" s="23">
        <v>5931</v>
      </c>
      <c r="AA221" s="24">
        <v>0.39554881133029801</v>
      </c>
      <c r="AB221" s="14" t="str">
        <f>VLOOKUP(flu_aw24[[#This Row],[trust_code]],trust_lookup[],3,0)</f>
        <v>Epsom</v>
      </c>
      <c r="AD221" s="43">
        <v>45943</v>
      </c>
      <c r="AE221" s="2">
        <v>42</v>
      </c>
      <c r="AF221" s="2" t="s">
        <v>518</v>
      </c>
      <c r="AG221" s="2" t="s">
        <v>176</v>
      </c>
      <c r="AH221" s="2" t="s">
        <v>177</v>
      </c>
      <c r="AI221" s="2" t="s">
        <v>192</v>
      </c>
      <c r="AJ221" s="23">
        <v>145</v>
      </c>
      <c r="AK221" s="23">
        <v>465</v>
      </c>
      <c r="AL221" s="23">
        <v>3046</v>
      </c>
      <c r="AM221" s="24">
        <v>0.15265922521339401</v>
      </c>
      <c r="AN221" s="44" t="str">
        <f>VLOOKUP(flu_aw25[[#This Row],[trust_code]],trust_lookup[],3,0)</f>
        <v>Hillingdon</v>
      </c>
      <c r="AW221" s="2" t="s">
        <v>157</v>
      </c>
      <c r="AX221" s="2" t="s">
        <v>158</v>
      </c>
      <c r="AY221" s="2" t="s">
        <v>656</v>
      </c>
      <c r="AZ221" s="2">
        <v>1789</v>
      </c>
      <c r="BA221" s="2">
        <v>666</v>
      </c>
      <c r="BB221" s="44" t="str">
        <f>VLOOKUP(age_group[[#This Row],[trust_code]],trust_lookup[],3,0)</f>
        <v>Royal Free</v>
      </c>
    </row>
    <row r="222" spans="1:54" x14ac:dyDescent="0.35">
      <c r="A222" s="2" t="s">
        <v>518</v>
      </c>
      <c r="B222" s="2" t="s">
        <v>25</v>
      </c>
      <c r="C222" s="2" t="s">
        <v>26</v>
      </c>
      <c r="D222" s="2" t="s">
        <v>192</v>
      </c>
      <c r="E222" s="2" t="s">
        <v>53</v>
      </c>
      <c r="F222" s="2">
        <v>1897</v>
      </c>
      <c r="G222" s="2">
        <v>627</v>
      </c>
      <c r="H222" s="14" t="str">
        <f>VLOOKUP(flu_group[[#This Row],[trust_code]],trust_lookup[],3,0)</f>
        <v>CNWL</v>
      </c>
      <c r="I222" s="14" t="str">
        <f>VLOOKUP(flu_group[[#This Row],[trust_code]],trust_lookup[],4,0)</f>
        <v>Mental Health &amp; Community</v>
      </c>
      <c r="K222" s="2" t="s">
        <v>518</v>
      </c>
      <c r="L222" s="2" t="s">
        <v>142</v>
      </c>
      <c r="M222" s="2" t="s">
        <v>143</v>
      </c>
      <c r="N222" s="2" t="s">
        <v>190</v>
      </c>
      <c r="O222" s="2" t="s">
        <v>36</v>
      </c>
      <c r="P222" s="2">
        <v>95</v>
      </c>
      <c r="R222" s="43">
        <v>45698</v>
      </c>
      <c r="S222" s="2">
        <v>7</v>
      </c>
      <c r="T222" s="2" t="s">
        <v>519</v>
      </c>
      <c r="U222" s="2" t="s">
        <v>76</v>
      </c>
      <c r="V222" s="2" t="s">
        <v>77</v>
      </c>
      <c r="W222" s="2" t="s">
        <v>194</v>
      </c>
      <c r="X222" s="23">
        <v>20</v>
      </c>
      <c r="Y222" s="23">
        <v>2366</v>
      </c>
      <c r="Z222" s="23">
        <v>5931</v>
      </c>
      <c r="AA222" s="24">
        <v>0.39892092395885997</v>
      </c>
      <c r="AB222" s="14" t="str">
        <f>VLOOKUP(flu_aw24[[#This Row],[trust_code]],trust_lookup[],3,0)</f>
        <v>Epsom</v>
      </c>
      <c r="AD222" s="43">
        <v>45950</v>
      </c>
      <c r="AE222" s="2">
        <v>43</v>
      </c>
      <c r="AF222" s="2" t="s">
        <v>518</v>
      </c>
      <c r="AG222" s="2" t="s">
        <v>176</v>
      </c>
      <c r="AH222" s="2" t="s">
        <v>177</v>
      </c>
      <c r="AI222" s="2" t="s">
        <v>192</v>
      </c>
      <c r="AJ222" s="23">
        <v>97</v>
      </c>
      <c r="AK222" s="23">
        <v>562</v>
      </c>
      <c r="AL222" s="23">
        <v>3046</v>
      </c>
      <c r="AM222" s="24">
        <v>0.184504267892317</v>
      </c>
      <c r="AN222" s="44" t="str">
        <f>VLOOKUP(flu_aw25[[#This Row],[trust_code]],trust_lookup[],3,0)</f>
        <v>Hillingdon</v>
      </c>
      <c r="AW222" s="2" t="s">
        <v>157</v>
      </c>
      <c r="AX222" s="2" t="s">
        <v>158</v>
      </c>
      <c r="AY222" s="2" t="s">
        <v>657</v>
      </c>
      <c r="AZ222" s="2">
        <v>1609</v>
      </c>
      <c r="BA222" s="2">
        <v>701</v>
      </c>
      <c r="BB222" s="44" t="str">
        <f>VLOOKUP(age_group[[#This Row],[trust_code]],trust_lookup[],3,0)</f>
        <v>Royal Free</v>
      </c>
    </row>
    <row r="223" spans="1:54" x14ac:dyDescent="0.35">
      <c r="A223" s="2" t="s">
        <v>518</v>
      </c>
      <c r="B223" s="2" t="s">
        <v>176</v>
      </c>
      <c r="C223" s="2" t="s">
        <v>177</v>
      </c>
      <c r="D223" s="2" t="s">
        <v>192</v>
      </c>
      <c r="E223" s="2" t="s">
        <v>53</v>
      </c>
      <c r="F223" s="2">
        <v>1074</v>
      </c>
      <c r="G223" s="2">
        <v>341</v>
      </c>
      <c r="H223" s="14" t="str">
        <f>VLOOKUP(flu_group[[#This Row],[trust_code]],trust_lookup[],3,0)</f>
        <v>Hillingdon</v>
      </c>
      <c r="I223" s="14" t="str">
        <f>VLOOKUP(flu_group[[#This Row],[trust_code]],trust_lookup[],4,0)</f>
        <v>Acute</v>
      </c>
      <c r="K223" s="2" t="s">
        <v>518</v>
      </c>
      <c r="L223" s="2" t="s">
        <v>25</v>
      </c>
      <c r="M223" s="2" t="s">
        <v>26</v>
      </c>
      <c r="N223" s="2" t="s">
        <v>192</v>
      </c>
      <c r="O223" s="2" t="s">
        <v>68</v>
      </c>
      <c r="P223" s="2">
        <v>795</v>
      </c>
      <c r="R223" s="43">
        <v>45705</v>
      </c>
      <c r="S223" s="2">
        <v>8</v>
      </c>
      <c r="T223" s="2" t="s">
        <v>519</v>
      </c>
      <c r="U223" s="2" t="s">
        <v>76</v>
      </c>
      <c r="V223" s="2" t="s">
        <v>77</v>
      </c>
      <c r="W223" s="2" t="s">
        <v>194</v>
      </c>
      <c r="X223" s="23">
        <v>13</v>
      </c>
      <c r="Y223" s="23">
        <v>2379</v>
      </c>
      <c r="Z223" s="23">
        <v>5931</v>
      </c>
      <c r="AA223" s="24">
        <v>0.40111279716742498</v>
      </c>
      <c r="AB223" s="14" t="str">
        <f>VLOOKUP(flu_aw24[[#This Row],[trust_code]],trust_lookup[],3,0)</f>
        <v>Epsom</v>
      </c>
      <c r="AD223" s="43">
        <v>45957</v>
      </c>
      <c r="AE223" s="2">
        <v>44</v>
      </c>
      <c r="AF223" s="2" t="s">
        <v>518</v>
      </c>
      <c r="AG223" s="2" t="s">
        <v>176</v>
      </c>
      <c r="AH223" s="2" t="s">
        <v>177</v>
      </c>
      <c r="AI223" s="2" t="s">
        <v>192</v>
      </c>
      <c r="AJ223" s="23">
        <v>97</v>
      </c>
      <c r="AK223" s="23">
        <v>659</v>
      </c>
      <c r="AL223" s="23">
        <v>3046</v>
      </c>
      <c r="AM223" s="24">
        <v>0.21634931057123999</v>
      </c>
      <c r="AN223" s="44" t="str">
        <f>VLOOKUP(flu_aw25[[#This Row],[trust_code]],trust_lookup[],3,0)</f>
        <v>Hillingdon</v>
      </c>
      <c r="AW223" s="2" t="s">
        <v>157</v>
      </c>
      <c r="AX223" s="2" t="s">
        <v>158</v>
      </c>
      <c r="AY223" s="2" t="s">
        <v>658</v>
      </c>
      <c r="AZ223" s="2">
        <v>1091</v>
      </c>
      <c r="BA223" s="2">
        <v>506</v>
      </c>
      <c r="BB223" s="44" t="str">
        <f>VLOOKUP(age_group[[#This Row],[trust_code]],trust_lookup[],3,0)</f>
        <v>Royal Free</v>
      </c>
    </row>
    <row r="224" spans="1:54" x14ac:dyDescent="0.35">
      <c r="A224" s="2" t="s">
        <v>518</v>
      </c>
      <c r="B224" s="2" t="s">
        <v>101</v>
      </c>
      <c r="C224" s="2" t="s">
        <v>102</v>
      </c>
      <c r="D224" s="2" t="s">
        <v>192</v>
      </c>
      <c r="E224" s="2" t="s">
        <v>53</v>
      </c>
      <c r="F224" s="2">
        <v>4402</v>
      </c>
      <c r="G224" s="2">
        <v>1573</v>
      </c>
      <c r="H224" s="14" t="str">
        <f>VLOOKUP(flu_group[[#This Row],[trust_code]],trust_lookup[],3,0)</f>
        <v>Imperial</v>
      </c>
      <c r="I224" s="14" t="str">
        <f>VLOOKUP(flu_group[[#This Row],[trust_code]],trust_lookup[],4,0)</f>
        <v>Acute</v>
      </c>
      <c r="K224" s="2" t="s">
        <v>518</v>
      </c>
      <c r="L224" s="2" t="s">
        <v>25</v>
      </c>
      <c r="M224" s="2" t="s">
        <v>26</v>
      </c>
      <c r="N224" s="2" t="s">
        <v>192</v>
      </c>
      <c r="O224" s="2" t="s">
        <v>135</v>
      </c>
      <c r="P224" s="2">
        <v>44</v>
      </c>
      <c r="R224" s="43">
        <v>45712</v>
      </c>
      <c r="S224" s="2">
        <v>9</v>
      </c>
      <c r="T224" s="2" t="s">
        <v>519</v>
      </c>
      <c r="U224" s="2" t="s">
        <v>76</v>
      </c>
      <c r="V224" s="2" t="s">
        <v>77</v>
      </c>
      <c r="W224" s="2" t="s">
        <v>194</v>
      </c>
      <c r="X224" s="23">
        <v>7</v>
      </c>
      <c r="Y224" s="23">
        <v>2386</v>
      </c>
      <c r="Z224" s="23">
        <v>5931</v>
      </c>
      <c r="AA224" s="24">
        <v>0.40229303658742199</v>
      </c>
      <c r="AB224" s="14" t="str">
        <f>VLOOKUP(flu_aw24[[#This Row],[trust_code]],trust_lookup[],3,0)</f>
        <v>Epsom</v>
      </c>
      <c r="AD224" s="43">
        <v>45964</v>
      </c>
      <c r="AE224" s="2">
        <v>45</v>
      </c>
      <c r="AF224" s="2" t="s">
        <v>518</v>
      </c>
      <c r="AG224" s="2" t="s">
        <v>176</v>
      </c>
      <c r="AH224" s="2" t="s">
        <v>177</v>
      </c>
      <c r="AI224" s="2" t="s">
        <v>192</v>
      </c>
      <c r="AJ224" s="23">
        <v>55</v>
      </c>
      <c r="AK224" s="23">
        <v>714</v>
      </c>
      <c r="AL224" s="23">
        <v>3046</v>
      </c>
      <c r="AM224" s="24">
        <v>0.234405778069599</v>
      </c>
      <c r="AN224" s="44" t="str">
        <f>VLOOKUP(flu_aw25[[#This Row],[trust_code]],trust_lookup[],3,0)</f>
        <v>Hillingdon</v>
      </c>
      <c r="AW224" s="2" t="s">
        <v>157</v>
      </c>
      <c r="AX224" s="2" t="s">
        <v>158</v>
      </c>
      <c r="AY224" s="2" t="s">
        <v>659</v>
      </c>
      <c r="AZ224" s="2">
        <v>740</v>
      </c>
      <c r="BA224" s="2">
        <v>432</v>
      </c>
      <c r="BB224" s="44" t="str">
        <f>VLOOKUP(age_group[[#This Row],[trust_code]],trust_lookup[],3,0)</f>
        <v>Royal Free</v>
      </c>
    </row>
    <row r="225" spans="1:54" x14ac:dyDescent="0.35">
      <c r="A225" s="2" t="s">
        <v>518</v>
      </c>
      <c r="B225" s="2" t="s">
        <v>30</v>
      </c>
      <c r="C225" s="2" t="s">
        <v>31</v>
      </c>
      <c r="D225" s="2" t="s">
        <v>190</v>
      </c>
      <c r="E225" s="2" t="s">
        <v>53</v>
      </c>
      <c r="F225" s="2">
        <v>2571</v>
      </c>
      <c r="G225" s="2">
        <v>999</v>
      </c>
      <c r="H225" s="14" t="str">
        <f>VLOOKUP(flu_group[[#This Row],[trust_code]],trust_lookup[],3,0)</f>
        <v>BHR</v>
      </c>
      <c r="I225" s="14" t="str">
        <f>VLOOKUP(flu_group[[#This Row],[trust_code]],trust_lookup[],4,0)</f>
        <v>Acute</v>
      </c>
      <c r="K225" s="2" t="s">
        <v>518</v>
      </c>
      <c r="L225" s="2" t="s">
        <v>25</v>
      </c>
      <c r="M225" s="2" t="s">
        <v>26</v>
      </c>
      <c r="N225" s="2" t="s">
        <v>192</v>
      </c>
      <c r="O225" s="2" t="s">
        <v>54</v>
      </c>
      <c r="P225" s="2">
        <v>184</v>
      </c>
      <c r="R225" s="43">
        <v>45719</v>
      </c>
      <c r="S225" s="2">
        <v>10</v>
      </c>
      <c r="T225" s="2" t="s">
        <v>519</v>
      </c>
      <c r="U225" s="2" t="s">
        <v>76</v>
      </c>
      <c r="V225" s="2" t="s">
        <v>77</v>
      </c>
      <c r="W225" s="2" t="s">
        <v>194</v>
      </c>
      <c r="X225" s="23">
        <v>4</v>
      </c>
      <c r="Y225" s="23">
        <v>2390</v>
      </c>
      <c r="Z225" s="23">
        <v>5931</v>
      </c>
      <c r="AA225" s="24">
        <v>0.40296745911313397</v>
      </c>
      <c r="AB225" s="14" t="str">
        <f>VLOOKUP(flu_aw24[[#This Row],[trust_code]],trust_lookup[],3,0)</f>
        <v>Epsom</v>
      </c>
      <c r="AD225" s="43">
        <v>45971</v>
      </c>
      <c r="AE225" s="2">
        <v>46</v>
      </c>
      <c r="AF225" s="2" t="s">
        <v>518</v>
      </c>
      <c r="AG225" s="2" t="s">
        <v>176</v>
      </c>
      <c r="AH225" s="2" t="s">
        <v>177</v>
      </c>
      <c r="AI225" s="2" t="s">
        <v>192</v>
      </c>
      <c r="AJ225" s="23">
        <v>54</v>
      </c>
      <c r="AK225" s="23">
        <v>768</v>
      </c>
      <c r="AL225" s="23">
        <v>3046</v>
      </c>
      <c r="AM225" s="24">
        <v>0.25213394615889601</v>
      </c>
      <c r="AN225" s="44" t="str">
        <f>VLOOKUP(flu_aw25[[#This Row],[trust_code]],trust_lookup[],3,0)</f>
        <v>Hillingdon</v>
      </c>
      <c r="AW225" s="2" t="s">
        <v>161</v>
      </c>
      <c r="AX225" s="2" t="s">
        <v>162</v>
      </c>
      <c r="AY225" s="2" t="s">
        <v>650</v>
      </c>
      <c r="AZ225" s="2">
        <v>33</v>
      </c>
      <c r="BA225" s="2">
        <v>10</v>
      </c>
      <c r="BB225" s="44" t="str">
        <f>VLOOKUP(age_group[[#This Row],[trust_code]],trust_lookup[],3,0)</f>
        <v>RNOH</v>
      </c>
    </row>
    <row r="226" spans="1:54" x14ac:dyDescent="0.35">
      <c r="A226" s="2" t="s">
        <v>518</v>
      </c>
      <c r="B226" s="2" t="s">
        <v>62</v>
      </c>
      <c r="C226" s="2" t="s">
        <v>63</v>
      </c>
      <c r="D226" s="2" t="s">
        <v>194</v>
      </c>
      <c r="E226" s="2" t="s">
        <v>53</v>
      </c>
      <c r="F226" s="2">
        <v>1240</v>
      </c>
      <c r="G226" s="2">
        <v>497</v>
      </c>
      <c r="H226" s="14" t="str">
        <f>VLOOKUP(flu_group[[#This Row],[trust_code]],trust_lookup[],3,0)</f>
        <v>Croydon</v>
      </c>
      <c r="I226" s="14" t="str">
        <f>VLOOKUP(flu_group[[#This Row],[trust_code]],trust_lookup[],4,0)</f>
        <v>Acute &amp; Community</v>
      </c>
      <c r="K226" s="2" t="s">
        <v>518</v>
      </c>
      <c r="L226" s="2" t="s">
        <v>25</v>
      </c>
      <c r="M226" s="2" t="s">
        <v>26</v>
      </c>
      <c r="N226" s="2" t="s">
        <v>192</v>
      </c>
      <c r="O226" s="2" t="s">
        <v>129</v>
      </c>
      <c r="P226" s="2">
        <v>13</v>
      </c>
      <c r="R226" s="43">
        <v>45726</v>
      </c>
      <c r="S226" s="2">
        <v>11</v>
      </c>
      <c r="T226" s="2" t="s">
        <v>519</v>
      </c>
      <c r="U226" s="2" t="s">
        <v>76</v>
      </c>
      <c r="V226" s="2" t="s">
        <v>77</v>
      </c>
      <c r="W226" s="2" t="s">
        <v>194</v>
      </c>
      <c r="X226" s="23">
        <v>4</v>
      </c>
      <c r="Y226" s="23">
        <v>2394</v>
      </c>
      <c r="Z226" s="23">
        <v>5931</v>
      </c>
      <c r="AA226" s="24">
        <v>0.40364188163884601</v>
      </c>
      <c r="AB226" s="14" t="str">
        <f>VLOOKUP(flu_aw24[[#This Row],[trust_code]],trust_lookup[],3,0)</f>
        <v>Epsom</v>
      </c>
      <c r="AD226" s="43">
        <v>45978</v>
      </c>
      <c r="AE226" s="2">
        <v>47</v>
      </c>
      <c r="AF226" s="2" t="s">
        <v>518</v>
      </c>
      <c r="AG226" s="2" t="s">
        <v>176</v>
      </c>
      <c r="AH226" s="2" t="s">
        <v>177</v>
      </c>
      <c r="AI226" s="2" t="s">
        <v>192</v>
      </c>
      <c r="AJ226" s="23">
        <v>48</v>
      </c>
      <c r="AK226" s="23">
        <v>816</v>
      </c>
      <c r="AL226" s="23">
        <v>3046</v>
      </c>
      <c r="AM226" s="24">
        <v>0.26789231779382799</v>
      </c>
      <c r="AN226" s="44" t="str">
        <f>VLOOKUP(flu_aw25[[#This Row],[trust_code]],trust_lookup[],3,0)</f>
        <v>Hillingdon</v>
      </c>
      <c r="AW226" s="2" t="s">
        <v>161</v>
      </c>
      <c r="AX226" s="2" t="s">
        <v>162</v>
      </c>
      <c r="AY226" s="2" t="s">
        <v>651</v>
      </c>
      <c r="AZ226" s="2">
        <v>109</v>
      </c>
      <c r="BA226" s="2">
        <v>37</v>
      </c>
      <c r="BB226" s="44" t="str">
        <f>VLOOKUP(age_group[[#This Row],[trust_code]],trust_lookup[],3,0)</f>
        <v>RNOH</v>
      </c>
    </row>
    <row r="227" spans="1:54" x14ac:dyDescent="0.35">
      <c r="A227" s="2" t="s">
        <v>518</v>
      </c>
      <c r="B227" s="2" t="s">
        <v>179</v>
      </c>
      <c r="C227" s="2" t="s">
        <v>180</v>
      </c>
      <c r="D227" s="2" t="s">
        <v>194</v>
      </c>
      <c r="E227" s="2" t="s">
        <v>53</v>
      </c>
      <c r="F227" s="2">
        <v>1122</v>
      </c>
      <c r="G227" s="2">
        <v>602</v>
      </c>
      <c r="H227" s="14" t="str">
        <f>VLOOKUP(flu_group[[#This Row],[trust_code]],trust_lookup[],3,0)</f>
        <v>Marsden</v>
      </c>
      <c r="I227" s="14" t="str">
        <f>VLOOKUP(flu_group[[#This Row],[trust_code]],trust_lookup[],4,0)</f>
        <v>Specialist</v>
      </c>
      <c r="K227" s="2" t="s">
        <v>518</v>
      </c>
      <c r="L227" s="2" t="s">
        <v>25</v>
      </c>
      <c r="M227" s="2" t="s">
        <v>26</v>
      </c>
      <c r="N227" s="2" t="s">
        <v>192</v>
      </c>
      <c r="O227" s="2" t="s">
        <v>47</v>
      </c>
      <c r="P227" s="2">
        <v>20</v>
      </c>
      <c r="R227" s="43">
        <v>45733</v>
      </c>
      <c r="S227" s="2">
        <v>12</v>
      </c>
      <c r="T227" s="2" t="s">
        <v>519</v>
      </c>
      <c r="U227" s="2" t="s">
        <v>76</v>
      </c>
      <c r="V227" s="2" t="s">
        <v>77</v>
      </c>
      <c r="W227" s="2" t="s">
        <v>194</v>
      </c>
      <c r="X227" s="23">
        <v>3</v>
      </c>
      <c r="Y227" s="23">
        <v>2397</v>
      </c>
      <c r="Z227" s="23">
        <v>5931</v>
      </c>
      <c r="AA227" s="24">
        <v>0.40414769853313098</v>
      </c>
      <c r="AB227" s="14" t="str">
        <f>VLOOKUP(flu_aw24[[#This Row],[trust_code]],trust_lookup[],3,0)</f>
        <v>Epsom</v>
      </c>
      <c r="AD227" s="43">
        <v>45985</v>
      </c>
      <c r="AE227" s="2">
        <v>48</v>
      </c>
      <c r="AF227" s="2" t="s">
        <v>518</v>
      </c>
      <c r="AG227" s="2" t="s">
        <v>176</v>
      </c>
      <c r="AH227" s="2" t="s">
        <v>177</v>
      </c>
      <c r="AI227" s="2" t="s">
        <v>192</v>
      </c>
      <c r="AJ227" s="23">
        <v>75</v>
      </c>
      <c r="AK227" s="23">
        <v>891</v>
      </c>
      <c r="AL227" s="23">
        <v>3046</v>
      </c>
      <c r="AM227" s="24">
        <v>0.29251477347340699</v>
      </c>
      <c r="AN227" s="44" t="str">
        <f>VLOOKUP(flu_aw25[[#This Row],[trust_code]],trust_lookup[],3,0)</f>
        <v>Hillingdon</v>
      </c>
      <c r="AW227" s="2" t="s">
        <v>161</v>
      </c>
      <c r="AX227" s="2" t="s">
        <v>162</v>
      </c>
      <c r="AY227" s="2" t="s">
        <v>652</v>
      </c>
      <c r="AZ227" s="2">
        <v>116</v>
      </c>
      <c r="BA227" s="2">
        <v>51</v>
      </c>
      <c r="BB227" s="44" t="str">
        <f>VLOOKUP(age_group[[#This Row],[trust_code]],trust_lookup[],3,0)</f>
        <v>RNOH</v>
      </c>
    </row>
    <row r="228" spans="1:54" x14ac:dyDescent="0.35">
      <c r="A228" s="2" t="s">
        <v>518</v>
      </c>
      <c r="B228" s="2" t="s">
        <v>55</v>
      </c>
      <c r="C228" s="2" t="s">
        <v>56</v>
      </c>
      <c r="D228" s="2" t="s">
        <v>192</v>
      </c>
      <c r="E228" s="2" t="s">
        <v>53</v>
      </c>
      <c r="F228" s="2">
        <v>1838</v>
      </c>
      <c r="G228" s="2">
        <v>823</v>
      </c>
      <c r="H228" s="14" t="str">
        <f>VLOOKUP(flu_group[[#This Row],[trust_code]],trust_lookup[],3,0)</f>
        <v>ChelWest</v>
      </c>
      <c r="I228" s="14" t="str">
        <f>VLOOKUP(flu_group[[#This Row],[trust_code]],trust_lookup[],4,0)</f>
        <v>Acute</v>
      </c>
      <c r="K228" s="2" t="s">
        <v>518</v>
      </c>
      <c r="L228" s="2" t="s">
        <v>25</v>
      </c>
      <c r="M228" s="2" t="s">
        <v>26</v>
      </c>
      <c r="N228" s="2" t="s">
        <v>192</v>
      </c>
      <c r="O228" s="2" t="s">
        <v>94</v>
      </c>
      <c r="P228" s="2">
        <v>14</v>
      </c>
      <c r="R228" s="43">
        <v>45740</v>
      </c>
      <c r="S228" s="2">
        <v>13</v>
      </c>
      <c r="T228" s="2" t="s">
        <v>519</v>
      </c>
      <c r="U228" s="2" t="s">
        <v>76</v>
      </c>
      <c r="V228" s="2" t="s">
        <v>77</v>
      </c>
      <c r="W228" s="2" t="s">
        <v>194</v>
      </c>
      <c r="X228" s="23">
        <v>1</v>
      </c>
      <c r="Y228" s="23">
        <v>2398</v>
      </c>
      <c r="Z228" s="23">
        <v>5931</v>
      </c>
      <c r="AA228" s="24">
        <v>0.40431630416455899</v>
      </c>
      <c r="AB228" s="14" t="str">
        <f>VLOOKUP(flu_aw24[[#This Row],[trust_code]],trust_lookup[],3,0)</f>
        <v>Epsom</v>
      </c>
      <c r="AD228" s="43">
        <v>45992</v>
      </c>
      <c r="AE228" s="2">
        <v>49</v>
      </c>
      <c r="AF228" s="2" t="s">
        <v>518</v>
      </c>
      <c r="AG228" s="2" t="s">
        <v>176</v>
      </c>
      <c r="AH228" s="2" t="s">
        <v>177</v>
      </c>
      <c r="AI228" s="2" t="s">
        <v>192</v>
      </c>
      <c r="AJ228" s="23">
        <v>43</v>
      </c>
      <c r="AK228" s="23">
        <v>934</v>
      </c>
      <c r="AL228" s="23">
        <v>3046</v>
      </c>
      <c r="AM228" s="24">
        <v>0.306631648063033</v>
      </c>
      <c r="AN228" s="44" t="str">
        <f>VLOOKUP(flu_aw25[[#This Row],[trust_code]],trust_lookup[],3,0)</f>
        <v>Hillingdon</v>
      </c>
      <c r="AW228" s="2" t="s">
        <v>161</v>
      </c>
      <c r="AX228" s="2" t="s">
        <v>162</v>
      </c>
      <c r="AY228" s="2" t="s">
        <v>653</v>
      </c>
      <c r="AZ228" s="2">
        <v>122</v>
      </c>
      <c r="BA228" s="2">
        <v>47</v>
      </c>
      <c r="BB228" s="44" t="str">
        <f>VLOOKUP(age_group[[#This Row],[trust_code]],trust_lookup[],3,0)</f>
        <v>RNOH</v>
      </c>
    </row>
    <row r="229" spans="1:54" x14ac:dyDescent="0.35">
      <c r="A229" s="2" t="s">
        <v>518</v>
      </c>
      <c r="B229" s="2" t="s">
        <v>187</v>
      </c>
      <c r="C229" s="2" t="s">
        <v>188</v>
      </c>
      <c r="D229" s="2" t="s">
        <v>192</v>
      </c>
      <c r="E229" s="2" t="s">
        <v>53</v>
      </c>
      <c r="F229" s="2">
        <v>1338</v>
      </c>
      <c r="G229" s="2">
        <v>471</v>
      </c>
      <c r="H229" s="14" t="str">
        <f>VLOOKUP(flu_group[[#This Row],[trust_code]],trust_lookup[],3,0)</f>
        <v>West London</v>
      </c>
      <c r="I229" s="14" t="str">
        <f>VLOOKUP(flu_group[[#This Row],[trust_code]],trust_lookup[],4,0)</f>
        <v>Mental Health &amp; Community</v>
      </c>
      <c r="K229" s="2" t="s">
        <v>518</v>
      </c>
      <c r="L229" s="2" t="s">
        <v>25</v>
      </c>
      <c r="M229" s="2" t="s">
        <v>26</v>
      </c>
      <c r="N229" s="2" t="s">
        <v>192</v>
      </c>
      <c r="O229" s="2" t="s">
        <v>29</v>
      </c>
      <c r="P229" s="2">
        <v>29</v>
      </c>
      <c r="R229" s="43">
        <v>45544</v>
      </c>
      <c r="S229" s="2">
        <v>37</v>
      </c>
      <c r="T229" s="2" t="s">
        <v>519</v>
      </c>
      <c r="U229" s="2" t="s">
        <v>83</v>
      </c>
      <c r="V229" s="2" t="s">
        <v>84</v>
      </c>
      <c r="W229" s="2" t="s">
        <v>27</v>
      </c>
      <c r="X229" s="23">
        <v>1</v>
      </c>
      <c r="Y229" s="23">
        <v>1</v>
      </c>
      <c r="Z229" s="23">
        <v>3957</v>
      </c>
      <c r="AA229" s="24">
        <v>2.5271670457417201E-4</v>
      </c>
      <c r="AB229" s="14" t="str">
        <f>VLOOKUP(flu_aw24[[#This Row],[trust_code]],trust_lookup[],3,0)</f>
        <v>GOSH</v>
      </c>
      <c r="AD229" s="43">
        <v>45999</v>
      </c>
      <c r="AE229" s="2">
        <v>50</v>
      </c>
      <c r="AF229" s="2" t="s">
        <v>518</v>
      </c>
      <c r="AG229" s="2" t="s">
        <v>176</v>
      </c>
      <c r="AH229" s="2" t="s">
        <v>177</v>
      </c>
      <c r="AI229" s="2" t="s">
        <v>192</v>
      </c>
      <c r="AJ229" s="23">
        <v>36</v>
      </c>
      <c r="AK229" s="23">
        <v>970</v>
      </c>
      <c r="AL229" s="23">
        <v>3046</v>
      </c>
      <c r="AM229" s="24">
        <v>0.31845042678923102</v>
      </c>
      <c r="AN229" s="44" t="str">
        <f>VLOOKUP(flu_aw25[[#This Row],[trust_code]],trust_lookup[],3,0)</f>
        <v>Hillingdon</v>
      </c>
      <c r="AW229" s="2" t="s">
        <v>161</v>
      </c>
      <c r="AX229" s="2" t="s">
        <v>162</v>
      </c>
      <c r="AY229" s="2" t="s">
        <v>654</v>
      </c>
      <c r="AZ229" s="2">
        <v>143</v>
      </c>
      <c r="BA229" s="2">
        <v>51</v>
      </c>
      <c r="BB229" s="44" t="str">
        <f>VLOOKUP(age_group[[#This Row],[trust_code]],trust_lookup[],3,0)</f>
        <v>RNOH</v>
      </c>
    </row>
    <row r="230" spans="1:54" x14ac:dyDescent="0.35">
      <c r="A230" s="2" t="s">
        <v>518</v>
      </c>
      <c r="B230" s="2" t="s">
        <v>95</v>
      </c>
      <c r="C230" s="2" t="s">
        <v>96</v>
      </c>
      <c r="D230" s="2" t="s">
        <v>190</v>
      </c>
      <c r="E230" s="2" t="s">
        <v>53</v>
      </c>
      <c r="F230" s="2">
        <v>1348</v>
      </c>
      <c r="G230" s="2">
        <v>584</v>
      </c>
      <c r="H230" s="14" t="str">
        <f>VLOOKUP(flu_group[[#This Row],[trust_code]],trust_lookup[],3,0)</f>
        <v>Homerton</v>
      </c>
      <c r="I230" s="14" t="str">
        <f>VLOOKUP(flu_group[[#This Row],[trust_code]],trust_lookup[],4,0)</f>
        <v>Acute</v>
      </c>
      <c r="K230" s="2" t="s">
        <v>518</v>
      </c>
      <c r="L230" s="2" t="s">
        <v>25</v>
      </c>
      <c r="M230" s="2" t="s">
        <v>26</v>
      </c>
      <c r="N230" s="2" t="s">
        <v>192</v>
      </c>
      <c r="O230" s="2" t="s">
        <v>123</v>
      </c>
      <c r="P230" s="2">
        <v>175</v>
      </c>
      <c r="R230" s="43">
        <v>45551</v>
      </c>
      <c r="S230" s="2">
        <v>38</v>
      </c>
      <c r="T230" s="2" t="s">
        <v>519</v>
      </c>
      <c r="U230" s="2" t="s">
        <v>83</v>
      </c>
      <c r="V230" s="2" t="s">
        <v>84</v>
      </c>
      <c r="W230" s="2" t="s">
        <v>27</v>
      </c>
      <c r="X230" s="23">
        <v>4</v>
      </c>
      <c r="Y230" s="23">
        <v>5</v>
      </c>
      <c r="Z230" s="23">
        <v>3957</v>
      </c>
      <c r="AA230" s="24">
        <v>1.2635835228708601E-3</v>
      </c>
      <c r="AB230" s="14" t="str">
        <f>VLOOKUP(flu_aw24[[#This Row],[trust_code]],trust_lookup[],3,0)</f>
        <v>GOSH</v>
      </c>
      <c r="AD230" s="43">
        <v>46006</v>
      </c>
      <c r="AE230" s="2">
        <v>51</v>
      </c>
      <c r="AF230" s="2" t="s">
        <v>518</v>
      </c>
      <c r="AG230" s="2" t="s">
        <v>176</v>
      </c>
      <c r="AH230" s="2" t="s">
        <v>177</v>
      </c>
      <c r="AI230" s="2" t="s">
        <v>192</v>
      </c>
      <c r="AJ230" s="23">
        <v>60</v>
      </c>
      <c r="AK230" s="23">
        <v>1030</v>
      </c>
      <c r="AL230" s="23">
        <v>3046</v>
      </c>
      <c r="AM230" s="24">
        <v>0.33814839133289498</v>
      </c>
      <c r="AN230" s="44" t="str">
        <f>VLOOKUP(flu_aw25[[#This Row],[trust_code]],trust_lookup[],3,0)</f>
        <v>Hillingdon</v>
      </c>
      <c r="AW230" s="2" t="s">
        <v>161</v>
      </c>
      <c r="AX230" s="2" t="s">
        <v>162</v>
      </c>
      <c r="AY230" s="2" t="s">
        <v>655</v>
      </c>
      <c r="AZ230" s="2">
        <v>114</v>
      </c>
      <c r="BA230" s="2">
        <v>44</v>
      </c>
      <c r="BB230" s="44" t="str">
        <f>VLOOKUP(age_group[[#This Row],[trust_code]],trust_lookup[],3,0)</f>
        <v>RNOH</v>
      </c>
    </row>
    <row r="231" spans="1:54" x14ac:dyDescent="0.35">
      <c r="A231" s="2" t="s">
        <v>518</v>
      </c>
      <c r="B231" s="2" t="s">
        <v>170</v>
      </c>
      <c r="C231" s="2" t="s">
        <v>171</v>
      </c>
      <c r="D231" s="2" t="s">
        <v>194</v>
      </c>
      <c r="E231" s="2" t="s">
        <v>53</v>
      </c>
      <c r="F231" s="2">
        <v>2582</v>
      </c>
      <c r="G231" s="2">
        <v>1055</v>
      </c>
      <c r="H231" s="14" t="str">
        <f>VLOOKUP(flu_group[[#This Row],[trust_code]],trust_lookup[],3,0)</f>
        <v>St George's</v>
      </c>
      <c r="I231" s="14" t="str">
        <f>VLOOKUP(flu_group[[#This Row],[trust_code]],trust_lookup[],4,0)</f>
        <v>Acute</v>
      </c>
      <c r="K231" s="2" t="s">
        <v>518</v>
      </c>
      <c r="L231" s="2" t="s">
        <v>25</v>
      </c>
      <c r="M231" s="2" t="s">
        <v>26</v>
      </c>
      <c r="N231" s="2" t="s">
        <v>192</v>
      </c>
      <c r="O231" s="2" t="s">
        <v>82</v>
      </c>
      <c r="P231" s="2">
        <v>27</v>
      </c>
      <c r="R231" s="43">
        <v>45558</v>
      </c>
      <c r="S231" s="2">
        <v>39</v>
      </c>
      <c r="T231" s="2" t="s">
        <v>519</v>
      </c>
      <c r="U231" s="2" t="s">
        <v>83</v>
      </c>
      <c r="V231" s="2" t="s">
        <v>84</v>
      </c>
      <c r="W231" s="2" t="s">
        <v>27</v>
      </c>
      <c r="X231" s="23">
        <v>4</v>
      </c>
      <c r="Y231" s="23">
        <v>9</v>
      </c>
      <c r="Z231" s="23">
        <v>3957</v>
      </c>
      <c r="AA231" s="24">
        <v>2.2744503411675498E-3</v>
      </c>
      <c r="AB231" s="14" t="str">
        <f>VLOOKUP(flu_aw24[[#This Row],[trust_code]],trust_lookup[],3,0)</f>
        <v>GOSH</v>
      </c>
      <c r="AD231" s="43">
        <v>46013</v>
      </c>
      <c r="AE231" s="2">
        <v>52</v>
      </c>
      <c r="AF231" s="2" t="s">
        <v>518</v>
      </c>
      <c r="AG231" s="2" t="s">
        <v>176</v>
      </c>
      <c r="AH231" s="2" t="s">
        <v>177</v>
      </c>
      <c r="AI231" s="2" t="s">
        <v>192</v>
      </c>
      <c r="AJ231" s="23">
        <v>1</v>
      </c>
      <c r="AK231" s="23">
        <v>1031</v>
      </c>
      <c r="AL231" s="23">
        <v>3046</v>
      </c>
      <c r="AM231" s="24">
        <v>0.33847669074195602</v>
      </c>
      <c r="AN231" s="44" t="str">
        <f>VLOOKUP(flu_aw25[[#This Row],[trust_code]],trust_lookup[],3,0)</f>
        <v>Hillingdon</v>
      </c>
      <c r="AW231" s="2" t="s">
        <v>161</v>
      </c>
      <c r="AX231" s="2" t="s">
        <v>162</v>
      </c>
      <c r="AY231" s="2" t="s">
        <v>656</v>
      </c>
      <c r="AZ231" s="2">
        <v>119</v>
      </c>
      <c r="BA231" s="2">
        <v>54</v>
      </c>
      <c r="BB231" s="44" t="str">
        <f>VLOOKUP(age_group[[#This Row],[trust_code]],trust_lookup[],3,0)</f>
        <v>RNOH</v>
      </c>
    </row>
    <row r="232" spans="1:54" x14ac:dyDescent="0.35">
      <c r="A232" s="2" t="s">
        <v>518</v>
      </c>
      <c r="B232" s="2" t="s">
        <v>173</v>
      </c>
      <c r="C232" s="2" t="s">
        <v>174</v>
      </c>
      <c r="D232" s="2" t="s">
        <v>27</v>
      </c>
      <c r="E232" s="2" t="s">
        <v>53</v>
      </c>
      <c r="F232" s="2">
        <v>18</v>
      </c>
      <c r="G232" s="2">
        <v>9</v>
      </c>
      <c r="H232" s="14" t="str">
        <f>VLOOKUP(flu_group[[#This Row],[trust_code]],trust_lookup[],3,0)</f>
        <v>T&amp;P</v>
      </c>
      <c r="I232" s="14" t="str">
        <f>VLOOKUP(flu_group[[#This Row],[trust_code]],trust_lookup[],4,0)</f>
        <v>Mental Health</v>
      </c>
      <c r="K232" s="2" t="s">
        <v>518</v>
      </c>
      <c r="L232" s="2" t="s">
        <v>25</v>
      </c>
      <c r="M232" s="2" t="s">
        <v>26</v>
      </c>
      <c r="N232" s="2" t="s">
        <v>192</v>
      </c>
      <c r="O232" s="2" t="s">
        <v>88</v>
      </c>
      <c r="P232" s="2">
        <v>6</v>
      </c>
      <c r="R232" s="43">
        <v>45565</v>
      </c>
      <c r="S232" s="2">
        <v>40</v>
      </c>
      <c r="T232" s="2" t="s">
        <v>519</v>
      </c>
      <c r="U232" s="2" t="s">
        <v>83</v>
      </c>
      <c r="V232" s="2" t="s">
        <v>84</v>
      </c>
      <c r="W232" s="2" t="s">
        <v>27</v>
      </c>
      <c r="X232" s="23">
        <v>82</v>
      </c>
      <c r="Y232" s="23">
        <v>91</v>
      </c>
      <c r="Z232" s="23">
        <v>3957</v>
      </c>
      <c r="AA232" s="24">
        <v>2.2997220116249599E-2</v>
      </c>
      <c r="AB232" s="14" t="str">
        <f>VLOOKUP(flu_aw24[[#This Row],[trust_code]],trust_lookup[],3,0)</f>
        <v>GOSH</v>
      </c>
      <c r="AD232" s="43">
        <v>46020</v>
      </c>
      <c r="AE232" s="2">
        <v>1</v>
      </c>
      <c r="AF232" s="2" t="s">
        <v>518</v>
      </c>
      <c r="AG232" s="2" t="s">
        <v>176</v>
      </c>
      <c r="AH232" s="2" t="s">
        <v>177</v>
      </c>
      <c r="AI232" s="2" t="s">
        <v>192</v>
      </c>
      <c r="AJ232" s="23">
        <v>2</v>
      </c>
      <c r="AK232" s="23">
        <v>1033</v>
      </c>
      <c r="AL232" s="23">
        <v>3046</v>
      </c>
      <c r="AM232" s="24">
        <v>0.33913328956007799</v>
      </c>
      <c r="AN232" s="44" t="str">
        <f>VLOOKUP(flu_aw25[[#This Row],[trust_code]],trust_lookup[],3,0)</f>
        <v>Hillingdon</v>
      </c>
      <c r="AW232" s="2" t="s">
        <v>161</v>
      </c>
      <c r="AX232" s="2" t="s">
        <v>162</v>
      </c>
      <c r="AY232" s="2" t="s">
        <v>657</v>
      </c>
      <c r="AZ232" s="2">
        <v>101</v>
      </c>
      <c r="BA232" s="2">
        <v>48</v>
      </c>
      <c r="BB232" s="44" t="str">
        <f>VLOOKUP(age_group[[#This Row],[trust_code]],trust_lookup[],3,0)</f>
        <v>RNOH</v>
      </c>
    </row>
    <row r="233" spans="1:54" x14ac:dyDescent="0.35">
      <c r="A233" s="2" t="s">
        <v>518</v>
      </c>
      <c r="B233" s="2" t="s">
        <v>161</v>
      </c>
      <c r="C233" s="2" t="s">
        <v>162</v>
      </c>
      <c r="D233" s="2" t="s">
        <v>27</v>
      </c>
      <c r="E233" s="2" t="s">
        <v>53</v>
      </c>
      <c r="F233" s="2">
        <v>403</v>
      </c>
      <c r="G233" s="2">
        <v>150</v>
      </c>
      <c r="H233" s="14" t="str">
        <f>VLOOKUP(flu_group[[#This Row],[trust_code]],trust_lookup[],3,0)</f>
        <v>RNOH</v>
      </c>
      <c r="I233" s="14" t="str">
        <f>VLOOKUP(flu_group[[#This Row],[trust_code]],trust_lookup[],4,0)</f>
        <v>Specialist</v>
      </c>
      <c r="K233" s="2" t="s">
        <v>518</v>
      </c>
      <c r="L233" s="2" t="s">
        <v>25</v>
      </c>
      <c r="M233" s="2" t="s">
        <v>26</v>
      </c>
      <c r="N233" s="2" t="s">
        <v>192</v>
      </c>
      <c r="O233" s="2" t="s">
        <v>141</v>
      </c>
      <c r="P233" s="2">
        <v>122</v>
      </c>
      <c r="R233" s="43">
        <v>45572</v>
      </c>
      <c r="S233" s="2">
        <v>41</v>
      </c>
      <c r="T233" s="2" t="s">
        <v>519</v>
      </c>
      <c r="U233" s="2" t="s">
        <v>83</v>
      </c>
      <c r="V233" s="2" t="s">
        <v>84</v>
      </c>
      <c r="W233" s="2" t="s">
        <v>27</v>
      </c>
      <c r="X233" s="23">
        <v>292</v>
      </c>
      <c r="Y233" s="23">
        <v>383</v>
      </c>
      <c r="Z233" s="23">
        <v>3957</v>
      </c>
      <c r="AA233" s="24">
        <v>9.6790497851908006E-2</v>
      </c>
      <c r="AB233" s="14" t="str">
        <f>VLOOKUP(flu_aw24[[#This Row],[trust_code]],trust_lookup[],3,0)</f>
        <v>GOSH</v>
      </c>
      <c r="AD233" s="43">
        <v>46027</v>
      </c>
      <c r="AE233" s="2">
        <v>2</v>
      </c>
      <c r="AF233" s="2" t="s">
        <v>518</v>
      </c>
      <c r="AG233" s="2" t="s">
        <v>176</v>
      </c>
      <c r="AH233" s="2" t="s">
        <v>177</v>
      </c>
      <c r="AI233" s="2" t="s">
        <v>192</v>
      </c>
      <c r="AJ233" s="23">
        <v>1</v>
      </c>
      <c r="AK233" s="23">
        <v>1034</v>
      </c>
      <c r="AL233" s="23">
        <v>3046</v>
      </c>
      <c r="AM233" s="24">
        <v>0.33946158896913903</v>
      </c>
      <c r="AN233" s="44" t="str">
        <f>VLOOKUP(flu_aw25[[#This Row],[trust_code]],trust_lookup[],3,0)</f>
        <v>Hillingdon</v>
      </c>
      <c r="AW233" s="2" t="s">
        <v>161</v>
      </c>
      <c r="AX233" s="2" t="s">
        <v>162</v>
      </c>
      <c r="AY233" s="2" t="s">
        <v>658</v>
      </c>
      <c r="AZ233" s="2">
        <v>77</v>
      </c>
      <c r="BA233" s="2">
        <v>42</v>
      </c>
      <c r="BB233" s="44" t="str">
        <f>VLOOKUP(age_group[[#This Row],[trust_code]],trust_lookup[],3,0)</f>
        <v>RNOH</v>
      </c>
    </row>
    <row r="234" spans="1:54" x14ac:dyDescent="0.35">
      <c r="A234" s="2" t="s">
        <v>518</v>
      </c>
      <c r="B234" s="2" t="s">
        <v>69</v>
      </c>
      <c r="C234" s="2" t="s">
        <v>70</v>
      </c>
      <c r="D234" s="2" t="s">
        <v>190</v>
      </c>
      <c r="E234" s="2" t="s">
        <v>53</v>
      </c>
      <c r="F234" s="2">
        <v>1997</v>
      </c>
      <c r="G234" s="2">
        <v>635</v>
      </c>
      <c r="H234" s="14" t="str">
        <f>VLOOKUP(flu_group[[#This Row],[trust_code]],trust_lookup[],3,0)</f>
        <v>ELFT</v>
      </c>
      <c r="I234" s="14" t="str">
        <f>VLOOKUP(flu_group[[#This Row],[trust_code]],trust_lookup[],4,0)</f>
        <v>Mental Health &amp; Community</v>
      </c>
      <c r="K234" s="2" t="s">
        <v>518</v>
      </c>
      <c r="L234" s="2" t="s">
        <v>25</v>
      </c>
      <c r="M234" s="2" t="s">
        <v>26</v>
      </c>
      <c r="N234" s="2" t="s">
        <v>192</v>
      </c>
      <c r="O234" s="2" t="s">
        <v>61</v>
      </c>
      <c r="P234" s="2">
        <v>34</v>
      </c>
      <c r="R234" s="43">
        <v>45579</v>
      </c>
      <c r="S234" s="2">
        <v>42</v>
      </c>
      <c r="T234" s="2" t="s">
        <v>519</v>
      </c>
      <c r="U234" s="2" t="s">
        <v>83</v>
      </c>
      <c r="V234" s="2" t="s">
        <v>84</v>
      </c>
      <c r="W234" s="2" t="s">
        <v>27</v>
      </c>
      <c r="X234" s="23">
        <v>298</v>
      </c>
      <c r="Y234" s="23">
        <v>681</v>
      </c>
      <c r="Z234" s="23">
        <v>3957</v>
      </c>
      <c r="AA234" s="24">
        <v>0.17210007581501099</v>
      </c>
      <c r="AB234" s="14" t="str">
        <f>VLOOKUP(flu_aw24[[#This Row],[trust_code]],trust_lookup[],3,0)</f>
        <v>GOSH</v>
      </c>
      <c r="AD234" s="43">
        <v>46034</v>
      </c>
      <c r="AE234" s="2">
        <v>3</v>
      </c>
      <c r="AF234" s="2" t="s">
        <v>518</v>
      </c>
      <c r="AG234" s="2" t="s">
        <v>176</v>
      </c>
      <c r="AH234" s="2" t="s">
        <v>177</v>
      </c>
      <c r="AI234" s="2" t="s">
        <v>192</v>
      </c>
      <c r="AJ234" s="23">
        <v>1</v>
      </c>
      <c r="AK234" s="23">
        <v>1035</v>
      </c>
      <c r="AL234" s="23">
        <v>3046</v>
      </c>
      <c r="AM234" s="24">
        <v>0.33978988837820001</v>
      </c>
      <c r="AN234" s="44" t="str">
        <f>VLOOKUP(flu_aw25[[#This Row],[trust_code]],trust_lookup[],3,0)</f>
        <v>Hillingdon</v>
      </c>
      <c r="AW234" s="2" t="s">
        <v>161</v>
      </c>
      <c r="AX234" s="2" t="s">
        <v>162</v>
      </c>
      <c r="AY234" s="2" t="s">
        <v>659</v>
      </c>
      <c r="AZ234" s="2">
        <v>36</v>
      </c>
      <c r="BA234" s="2">
        <v>19</v>
      </c>
      <c r="BB234" s="44" t="str">
        <f>VLOOKUP(age_group[[#This Row],[trust_code]],trust_lookup[],3,0)</f>
        <v>RNOH</v>
      </c>
    </row>
    <row r="235" spans="1:54" x14ac:dyDescent="0.35">
      <c r="A235" s="2" t="s">
        <v>518</v>
      </c>
      <c r="B235" s="2" t="s">
        <v>130</v>
      </c>
      <c r="C235" s="2" t="s">
        <v>131</v>
      </c>
      <c r="D235" s="2" t="s">
        <v>192</v>
      </c>
      <c r="E235" s="2" t="s">
        <v>53</v>
      </c>
      <c r="F235" s="2">
        <v>1786</v>
      </c>
      <c r="G235" s="2">
        <v>756</v>
      </c>
      <c r="H235" s="14" t="str">
        <f>VLOOKUP(flu_group[[#This Row],[trust_code]],trust_lookup[],3,0)</f>
        <v>LNW</v>
      </c>
      <c r="I235" s="14" t="str">
        <f>VLOOKUP(flu_group[[#This Row],[trust_code]],trust_lookup[],4,0)</f>
        <v>Acute</v>
      </c>
      <c r="K235" s="2" t="s">
        <v>518</v>
      </c>
      <c r="L235" s="2" t="s">
        <v>25</v>
      </c>
      <c r="M235" s="2" t="s">
        <v>26</v>
      </c>
      <c r="N235" s="2" t="s">
        <v>192</v>
      </c>
      <c r="O235" s="2" t="s">
        <v>100</v>
      </c>
      <c r="P235" s="2">
        <v>258</v>
      </c>
      <c r="R235" s="43">
        <v>45586</v>
      </c>
      <c r="S235" s="2">
        <v>43</v>
      </c>
      <c r="T235" s="2" t="s">
        <v>519</v>
      </c>
      <c r="U235" s="2" t="s">
        <v>83</v>
      </c>
      <c r="V235" s="2" t="s">
        <v>84</v>
      </c>
      <c r="W235" s="2" t="s">
        <v>27</v>
      </c>
      <c r="X235" s="23">
        <v>245</v>
      </c>
      <c r="Y235" s="23">
        <v>926</v>
      </c>
      <c r="Z235" s="23">
        <v>3957</v>
      </c>
      <c r="AA235" s="24">
        <v>0.234015668435683</v>
      </c>
      <c r="AB235" s="14" t="str">
        <f>VLOOKUP(flu_aw24[[#This Row],[trust_code]],trust_lookup[],3,0)</f>
        <v>GOSH</v>
      </c>
      <c r="AD235" s="43">
        <v>46041</v>
      </c>
      <c r="AE235" s="2">
        <v>4</v>
      </c>
      <c r="AF235" s="2" t="s">
        <v>518</v>
      </c>
      <c r="AG235" s="2" t="s">
        <v>176</v>
      </c>
      <c r="AH235" s="2" t="s">
        <v>177</v>
      </c>
      <c r="AI235" s="2" t="s">
        <v>192</v>
      </c>
      <c r="AJ235" s="23">
        <v>1</v>
      </c>
      <c r="AK235" s="23">
        <v>1036</v>
      </c>
      <c r="AL235" s="23">
        <v>3046</v>
      </c>
      <c r="AM235" s="24">
        <v>0.34011818778726199</v>
      </c>
      <c r="AN235" s="44" t="str">
        <f>VLOOKUP(flu_aw25[[#This Row],[trust_code]],trust_lookup[],3,0)</f>
        <v>Hillingdon</v>
      </c>
      <c r="AW235" s="2" t="s">
        <v>164</v>
      </c>
      <c r="AX235" s="2" t="s">
        <v>165</v>
      </c>
      <c r="AY235" s="2" t="s">
        <v>650</v>
      </c>
      <c r="AZ235" s="2">
        <v>92</v>
      </c>
      <c r="BA235" s="2">
        <v>22</v>
      </c>
      <c r="BB235" s="44" t="str">
        <f>VLOOKUP(age_group[[#This Row],[trust_code]],trust_lookup[],3,0)</f>
        <v>SLAM</v>
      </c>
    </row>
    <row r="236" spans="1:54" x14ac:dyDescent="0.35">
      <c r="A236" s="2" t="s">
        <v>518</v>
      </c>
      <c r="B236" s="2" t="s">
        <v>152</v>
      </c>
      <c r="C236" s="2" t="s">
        <v>153</v>
      </c>
      <c r="D236" s="2" t="s">
        <v>193</v>
      </c>
      <c r="E236" s="2" t="s">
        <v>53</v>
      </c>
      <c r="F236" s="2">
        <v>1233</v>
      </c>
      <c r="G236" s="2">
        <v>476</v>
      </c>
      <c r="H236" s="14" t="str">
        <f>VLOOKUP(flu_group[[#This Row],[trust_code]],trust_lookup[],3,0)</f>
        <v>Oxleas</v>
      </c>
      <c r="I236" s="14" t="str">
        <f>VLOOKUP(flu_group[[#This Row],[trust_code]],trust_lookup[],4,0)</f>
        <v>Mental Health &amp; Community</v>
      </c>
      <c r="K236" s="2" t="s">
        <v>518</v>
      </c>
      <c r="L236" s="2" t="s">
        <v>25</v>
      </c>
      <c r="M236" s="2" t="s">
        <v>26</v>
      </c>
      <c r="N236" s="2" t="s">
        <v>192</v>
      </c>
      <c r="O236" s="2" t="s">
        <v>75</v>
      </c>
      <c r="P236" s="2">
        <v>71</v>
      </c>
      <c r="R236" s="43">
        <v>45593</v>
      </c>
      <c r="S236" s="2">
        <v>44</v>
      </c>
      <c r="T236" s="2" t="s">
        <v>519</v>
      </c>
      <c r="U236" s="2" t="s">
        <v>83</v>
      </c>
      <c r="V236" s="2" t="s">
        <v>84</v>
      </c>
      <c r="W236" s="2" t="s">
        <v>27</v>
      </c>
      <c r="X236" s="23">
        <v>182</v>
      </c>
      <c r="Y236" s="23">
        <v>1108</v>
      </c>
      <c r="Z236" s="23">
        <v>3957</v>
      </c>
      <c r="AA236" s="24">
        <v>0.28001010866818299</v>
      </c>
      <c r="AB236" s="14" t="str">
        <f>VLOOKUP(flu_aw24[[#This Row],[trust_code]],trust_lookup[],3,0)</f>
        <v>GOSH</v>
      </c>
      <c r="AD236" s="43">
        <v>46048</v>
      </c>
      <c r="AE236" s="2">
        <v>5</v>
      </c>
      <c r="AF236" s="2" t="s">
        <v>518</v>
      </c>
      <c r="AG236" s="2" t="s">
        <v>176</v>
      </c>
      <c r="AH236" s="2" t="s">
        <v>177</v>
      </c>
      <c r="AI236" s="2" t="s">
        <v>192</v>
      </c>
      <c r="AJ236" s="23">
        <v>2</v>
      </c>
      <c r="AK236" s="23">
        <v>1038</v>
      </c>
      <c r="AL236" s="23">
        <v>3046</v>
      </c>
      <c r="AM236" s="24">
        <v>0.34077478660538402</v>
      </c>
      <c r="AN236" s="44" t="str">
        <f>VLOOKUP(flu_aw25[[#This Row],[trust_code]],trust_lookup[],3,0)</f>
        <v>Hillingdon</v>
      </c>
      <c r="AW236" s="2" t="s">
        <v>164</v>
      </c>
      <c r="AX236" s="2" t="s">
        <v>165</v>
      </c>
      <c r="AY236" s="2" t="s">
        <v>651</v>
      </c>
      <c r="AZ236" s="2">
        <v>457</v>
      </c>
      <c r="BA236" s="2">
        <v>148</v>
      </c>
      <c r="BB236" s="44" t="str">
        <f>VLOOKUP(age_group[[#This Row],[trust_code]],trust_lookup[],3,0)</f>
        <v>SLAM</v>
      </c>
    </row>
    <row r="237" spans="1:54" x14ac:dyDescent="0.35">
      <c r="A237" s="2" t="s">
        <v>518</v>
      </c>
      <c r="B237" s="2" t="s">
        <v>147</v>
      </c>
      <c r="C237" s="2" t="s">
        <v>148</v>
      </c>
      <c r="D237" s="2" t="s">
        <v>27</v>
      </c>
      <c r="E237" s="2" t="s">
        <v>53</v>
      </c>
      <c r="F237" s="2">
        <v>1391</v>
      </c>
      <c r="G237" s="2">
        <v>414</v>
      </c>
      <c r="H237" s="14" t="str">
        <f>VLOOKUP(flu_group[[#This Row],[trust_code]],trust_lookup[],3,0)</f>
        <v>North London</v>
      </c>
      <c r="I237" s="14" t="str">
        <f>VLOOKUP(flu_group[[#This Row],[trust_code]],trust_lookup[],4,0)</f>
        <v>Mental Health</v>
      </c>
      <c r="K237" s="2" t="s">
        <v>518</v>
      </c>
      <c r="L237" s="2" t="s">
        <v>25</v>
      </c>
      <c r="M237" s="2" t="s">
        <v>26</v>
      </c>
      <c r="N237" s="2" t="s">
        <v>192</v>
      </c>
      <c r="O237" s="2" t="s">
        <v>106</v>
      </c>
      <c r="P237" s="2">
        <v>34</v>
      </c>
      <c r="R237" s="43">
        <v>45600</v>
      </c>
      <c r="S237" s="2">
        <v>45</v>
      </c>
      <c r="T237" s="2" t="s">
        <v>519</v>
      </c>
      <c r="U237" s="2" t="s">
        <v>83</v>
      </c>
      <c r="V237" s="2" t="s">
        <v>84</v>
      </c>
      <c r="W237" s="2" t="s">
        <v>27</v>
      </c>
      <c r="X237" s="23">
        <v>161</v>
      </c>
      <c r="Y237" s="23">
        <v>1269</v>
      </c>
      <c r="Z237" s="23">
        <v>3957</v>
      </c>
      <c r="AA237" s="24">
        <v>0.320697498104624</v>
      </c>
      <c r="AB237" s="14" t="str">
        <f>VLOOKUP(flu_aw24[[#This Row],[trust_code]],trust_lookup[],3,0)</f>
        <v>GOSH</v>
      </c>
      <c r="AD237" s="43">
        <v>46055</v>
      </c>
      <c r="AE237" s="2">
        <v>6</v>
      </c>
      <c r="AF237" s="2" t="s">
        <v>518</v>
      </c>
      <c r="AG237" s="2" t="s">
        <v>176</v>
      </c>
      <c r="AH237" s="2" t="s">
        <v>177</v>
      </c>
      <c r="AI237" s="2" t="s">
        <v>192</v>
      </c>
      <c r="AJ237" s="23">
        <v>2</v>
      </c>
      <c r="AK237" s="23">
        <v>1040</v>
      </c>
      <c r="AL237" s="23">
        <v>3046</v>
      </c>
      <c r="AM237" s="24">
        <v>0.34143138542350598</v>
      </c>
      <c r="AN237" s="44" t="str">
        <f>VLOOKUP(flu_aw25[[#This Row],[trust_code]],trust_lookup[],3,0)</f>
        <v>Hillingdon</v>
      </c>
      <c r="AW237" s="2" t="s">
        <v>164</v>
      </c>
      <c r="AX237" s="2" t="s">
        <v>165</v>
      </c>
      <c r="AY237" s="2" t="s">
        <v>652</v>
      </c>
      <c r="AZ237" s="2">
        <v>516</v>
      </c>
      <c r="BA237" s="2">
        <v>206</v>
      </c>
      <c r="BB237" s="44" t="str">
        <f>VLOOKUP(age_group[[#This Row],[trust_code]],trust_lookup[],3,0)</f>
        <v>SLAM</v>
      </c>
    </row>
    <row r="238" spans="1:54" x14ac:dyDescent="0.35">
      <c r="A238" s="2" t="s">
        <v>518</v>
      </c>
      <c r="B238" s="2" t="s">
        <v>113</v>
      </c>
      <c r="C238" s="2" t="s">
        <v>114</v>
      </c>
      <c r="D238" s="2" t="s">
        <v>194</v>
      </c>
      <c r="E238" s="2" t="s">
        <v>53</v>
      </c>
      <c r="F238" s="2">
        <v>1501</v>
      </c>
      <c r="G238" s="2">
        <v>710</v>
      </c>
      <c r="H238" s="14" t="str">
        <f>VLOOKUP(flu_group[[#This Row],[trust_code]],trust_lookup[],3,0)</f>
        <v>K&amp;R FT</v>
      </c>
      <c r="I238" s="14" t="str">
        <f>VLOOKUP(flu_group[[#This Row],[trust_code]],trust_lookup[],4,0)</f>
        <v>Acute &amp; Community</v>
      </c>
      <c r="K238" s="2" t="s">
        <v>518</v>
      </c>
      <c r="L238" s="2" t="s">
        <v>25</v>
      </c>
      <c r="M238" s="2" t="s">
        <v>26</v>
      </c>
      <c r="N238" s="2" t="s">
        <v>192</v>
      </c>
      <c r="O238" s="2" t="s">
        <v>112</v>
      </c>
      <c r="P238" s="2">
        <v>97</v>
      </c>
      <c r="R238" s="43">
        <v>45607</v>
      </c>
      <c r="S238" s="2">
        <v>46</v>
      </c>
      <c r="T238" s="2" t="s">
        <v>519</v>
      </c>
      <c r="U238" s="2" t="s">
        <v>83</v>
      </c>
      <c r="V238" s="2" t="s">
        <v>84</v>
      </c>
      <c r="W238" s="2" t="s">
        <v>27</v>
      </c>
      <c r="X238" s="23">
        <v>121</v>
      </c>
      <c r="Y238" s="23">
        <v>1390</v>
      </c>
      <c r="Z238" s="23">
        <v>3957</v>
      </c>
      <c r="AA238" s="24">
        <v>0.351276219358099</v>
      </c>
      <c r="AB238" s="14" t="str">
        <f>VLOOKUP(flu_aw24[[#This Row],[trust_code]],trust_lookup[],3,0)</f>
        <v>GOSH</v>
      </c>
      <c r="AD238" s="43">
        <v>46062</v>
      </c>
      <c r="AE238" s="2">
        <v>7</v>
      </c>
      <c r="AF238" s="2" t="s">
        <v>518</v>
      </c>
      <c r="AG238" s="2" t="s">
        <v>176</v>
      </c>
      <c r="AH238" s="2" t="s">
        <v>177</v>
      </c>
      <c r="AI238" s="2" t="s">
        <v>192</v>
      </c>
      <c r="AJ238" s="23">
        <v>2</v>
      </c>
      <c r="AK238" s="23">
        <v>1042</v>
      </c>
      <c r="AL238" s="23">
        <v>3046</v>
      </c>
      <c r="AM238" s="24">
        <v>0.34208798424162801</v>
      </c>
      <c r="AN238" s="44" t="str">
        <f>VLOOKUP(flu_aw25[[#This Row],[trust_code]],trust_lookup[],3,0)</f>
        <v>Hillingdon</v>
      </c>
      <c r="AW238" s="2" t="s">
        <v>164</v>
      </c>
      <c r="AX238" s="2" t="s">
        <v>165</v>
      </c>
      <c r="AY238" s="2" t="s">
        <v>653</v>
      </c>
      <c r="AZ238" s="2">
        <v>501</v>
      </c>
      <c r="BA238" s="2">
        <v>190</v>
      </c>
      <c r="BB238" s="44" t="str">
        <f>VLOOKUP(age_group[[#This Row],[trust_code]],trust_lookup[],3,0)</f>
        <v>SLAM</v>
      </c>
    </row>
    <row r="239" spans="1:54" x14ac:dyDescent="0.35">
      <c r="A239" s="2" t="s">
        <v>518</v>
      </c>
      <c r="B239" s="2" t="s">
        <v>164</v>
      </c>
      <c r="C239" s="2" t="s">
        <v>165</v>
      </c>
      <c r="D239" s="2" t="s">
        <v>193</v>
      </c>
      <c r="E239" s="2" t="s">
        <v>53</v>
      </c>
      <c r="F239" s="2">
        <v>1102</v>
      </c>
      <c r="G239" s="2">
        <v>370</v>
      </c>
      <c r="H239" s="14" t="str">
        <f>VLOOKUP(flu_group[[#This Row],[trust_code]],trust_lookup[],3,0)</f>
        <v>SLAM</v>
      </c>
      <c r="I239" s="14" t="str">
        <f>VLOOKUP(flu_group[[#This Row],[trust_code]],trust_lookup[],4,0)</f>
        <v>Mental Health</v>
      </c>
      <c r="K239" s="2" t="s">
        <v>518</v>
      </c>
      <c r="L239" s="2" t="s">
        <v>25</v>
      </c>
      <c r="M239" s="2" t="s">
        <v>26</v>
      </c>
      <c r="N239" s="2" t="s">
        <v>192</v>
      </c>
      <c r="O239" s="2" t="s">
        <v>36</v>
      </c>
      <c r="P239" s="2">
        <v>97</v>
      </c>
      <c r="R239" s="43">
        <v>45614</v>
      </c>
      <c r="S239" s="2">
        <v>47</v>
      </c>
      <c r="T239" s="2" t="s">
        <v>519</v>
      </c>
      <c r="U239" s="2" t="s">
        <v>83</v>
      </c>
      <c r="V239" s="2" t="s">
        <v>84</v>
      </c>
      <c r="W239" s="2" t="s">
        <v>27</v>
      </c>
      <c r="X239" s="23">
        <v>123</v>
      </c>
      <c r="Y239" s="23">
        <v>1513</v>
      </c>
      <c r="Z239" s="23">
        <v>3957</v>
      </c>
      <c r="AA239" s="24">
        <v>0.38236037402072198</v>
      </c>
      <c r="AB239" s="14" t="str">
        <f>VLOOKUP(flu_aw24[[#This Row],[trust_code]],trust_lookup[],3,0)</f>
        <v>GOSH</v>
      </c>
      <c r="AD239" s="43">
        <v>46076</v>
      </c>
      <c r="AE239" s="2">
        <v>9</v>
      </c>
      <c r="AF239" s="2" t="s">
        <v>518</v>
      </c>
      <c r="AG239" s="2" t="s">
        <v>176</v>
      </c>
      <c r="AH239" s="2" t="s">
        <v>177</v>
      </c>
      <c r="AI239" s="2" t="s">
        <v>192</v>
      </c>
      <c r="AJ239" s="23">
        <v>2</v>
      </c>
      <c r="AK239" s="23">
        <v>1044</v>
      </c>
      <c r="AL239" s="23">
        <v>3046</v>
      </c>
      <c r="AM239" s="24">
        <v>0.34274458305974997</v>
      </c>
      <c r="AN239" s="44" t="str">
        <f>VLOOKUP(flu_aw25[[#This Row],[trust_code]],trust_lookup[],3,0)</f>
        <v>Hillingdon</v>
      </c>
      <c r="AW239" s="2" t="s">
        <v>164</v>
      </c>
      <c r="AX239" s="2" t="s">
        <v>165</v>
      </c>
      <c r="AY239" s="2" t="s">
        <v>654</v>
      </c>
      <c r="AZ239" s="2">
        <v>417</v>
      </c>
      <c r="BA239" s="2">
        <v>143</v>
      </c>
      <c r="BB239" s="44" t="str">
        <f>VLOOKUP(age_group[[#This Row],[trust_code]],trust_lookup[],3,0)</f>
        <v>SLAM</v>
      </c>
    </row>
    <row r="240" spans="1:54" x14ac:dyDescent="0.35">
      <c r="A240" s="2" t="s">
        <v>518</v>
      </c>
      <c r="B240" s="2" t="s">
        <v>83</v>
      </c>
      <c r="C240" s="2" t="s">
        <v>84</v>
      </c>
      <c r="D240" s="2" t="s">
        <v>27</v>
      </c>
      <c r="E240" s="2" t="s">
        <v>53</v>
      </c>
      <c r="F240" s="2">
        <v>1403</v>
      </c>
      <c r="G240" s="2">
        <v>820</v>
      </c>
      <c r="H240" s="14" t="str">
        <f>VLOOKUP(flu_group[[#This Row],[trust_code]],trust_lookup[],3,0)</f>
        <v>GOSH</v>
      </c>
      <c r="I240" s="14" t="str">
        <f>VLOOKUP(flu_group[[#This Row],[trust_code]],trust_lookup[],4,0)</f>
        <v>Specialist</v>
      </c>
      <c r="K240" s="2" t="s">
        <v>518</v>
      </c>
      <c r="L240" s="2" t="s">
        <v>48</v>
      </c>
      <c r="M240" s="2" t="s">
        <v>49</v>
      </c>
      <c r="N240" s="2" t="s">
        <v>192</v>
      </c>
      <c r="O240" s="2" t="s">
        <v>68</v>
      </c>
      <c r="P240" s="2">
        <v>559</v>
      </c>
      <c r="R240" s="43">
        <v>45621</v>
      </c>
      <c r="S240" s="2">
        <v>48</v>
      </c>
      <c r="T240" s="2" t="s">
        <v>519</v>
      </c>
      <c r="U240" s="2" t="s">
        <v>83</v>
      </c>
      <c r="V240" s="2" t="s">
        <v>84</v>
      </c>
      <c r="W240" s="2" t="s">
        <v>27</v>
      </c>
      <c r="X240" s="23">
        <v>81</v>
      </c>
      <c r="Y240" s="23">
        <v>1594</v>
      </c>
      <c r="Z240" s="23">
        <v>3957</v>
      </c>
      <c r="AA240" s="24">
        <v>0.40283042709123001</v>
      </c>
      <c r="AB240" s="14" t="str">
        <f>VLOOKUP(flu_aw24[[#This Row],[trust_code]],trust_lookup[],3,0)</f>
        <v>GOSH</v>
      </c>
      <c r="AD240" s="43">
        <v>45901</v>
      </c>
      <c r="AE240" s="2">
        <v>36</v>
      </c>
      <c r="AF240" s="2" t="s">
        <v>518</v>
      </c>
      <c r="AG240" s="2" t="s">
        <v>182</v>
      </c>
      <c r="AH240" s="2" t="s">
        <v>183</v>
      </c>
      <c r="AI240" s="2" t="s">
        <v>27</v>
      </c>
      <c r="AJ240" s="23">
        <v>3</v>
      </c>
      <c r="AK240" s="23">
        <v>3</v>
      </c>
      <c r="AL240" s="23">
        <v>8259</v>
      </c>
      <c r="AM240" s="24">
        <v>3.6324010170722801E-4</v>
      </c>
      <c r="AN240" s="44" t="str">
        <f>VLOOKUP(flu_aw25[[#This Row],[trust_code]],trust_lookup[],3,0)</f>
        <v>UCLH</v>
      </c>
      <c r="AW240" s="2" t="s">
        <v>164</v>
      </c>
      <c r="AX240" s="2" t="s">
        <v>165</v>
      </c>
      <c r="AY240" s="2" t="s">
        <v>655</v>
      </c>
      <c r="AZ240" s="2">
        <v>492</v>
      </c>
      <c r="BA240" s="2">
        <v>165</v>
      </c>
      <c r="BB240" s="44" t="str">
        <f>VLOOKUP(age_group[[#This Row],[trust_code]],trust_lookup[],3,0)</f>
        <v>SLAM</v>
      </c>
    </row>
    <row r="241" spans="1:54" x14ac:dyDescent="0.35">
      <c r="A241" s="2" t="s">
        <v>518</v>
      </c>
      <c r="B241" s="2" t="s">
        <v>182</v>
      </c>
      <c r="C241" s="2" t="s">
        <v>183</v>
      </c>
      <c r="D241" s="2" t="s">
        <v>27</v>
      </c>
      <c r="E241" s="2" t="s">
        <v>53</v>
      </c>
      <c r="F241" s="2">
        <v>2870</v>
      </c>
      <c r="G241" s="2">
        <v>1172</v>
      </c>
      <c r="H241" s="14" t="str">
        <f>VLOOKUP(flu_group[[#This Row],[trust_code]],trust_lookup[],3,0)</f>
        <v>UCLH</v>
      </c>
      <c r="I241" s="14" t="str">
        <f>VLOOKUP(flu_group[[#This Row],[trust_code]],trust_lookup[],4,0)</f>
        <v>Acute</v>
      </c>
      <c r="K241" s="2" t="s">
        <v>518</v>
      </c>
      <c r="L241" s="2" t="s">
        <v>48</v>
      </c>
      <c r="M241" s="2" t="s">
        <v>49</v>
      </c>
      <c r="N241" s="2" t="s">
        <v>192</v>
      </c>
      <c r="O241" s="2" t="s">
        <v>135</v>
      </c>
      <c r="P241" s="2">
        <v>37</v>
      </c>
      <c r="R241" s="43">
        <v>45628</v>
      </c>
      <c r="S241" s="2">
        <v>49</v>
      </c>
      <c r="T241" s="2" t="s">
        <v>519</v>
      </c>
      <c r="U241" s="2" t="s">
        <v>83</v>
      </c>
      <c r="V241" s="2" t="s">
        <v>84</v>
      </c>
      <c r="W241" s="2" t="s">
        <v>27</v>
      </c>
      <c r="X241" s="23">
        <v>61</v>
      </c>
      <c r="Y241" s="23">
        <v>1655</v>
      </c>
      <c r="Z241" s="23">
        <v>3957</v>
      </c>
      <c r="AA241" s="24">
        <v>0.41824614607025501</v>
      </c>
      <c r="AB241" s="14" t="str">
        <f>VLOOKUP(flu_aw24[[#This Row],[trust_code]],trust_lookup[],3,0)</f>
        <v>GOSH</v>
      </c>
      <c r="AD241" s="43">
        <v>45908</v>
      </c>
      <c r="AE241" s="2">
        <v>37</v>
      </c>
      <c r="AF241" s="2" t="s">
        <v>518</v>
      </c>
      <c r="AG241" s="2" t="s">
        <v>182</v>
      </c>
      <c r="AH241" s="2" t="s">
        <v>183</v>
      </c>
      <c r="AI241" s="2" t="s">
        <v>27</v>
      </c>
      <c r="AJ241" s="23">
        <v>1</v>
      </c>
      <c r="AK241" s="23">
        <v>4</v>
      </c>
      <c r="AL241" s="23">
        <v>8259</v>
      </c>
      <c r="AM241" s="24">
        <v>4.8432013560963799E-4</v>
      </c>
      <c r="AN241" s="44" t="str">
        <f>VLOOKUP(flu_aw25[[#This Row],[trust_code]],trust_lookup[],3,0)</f>
        <v>UCLH</v>
      </c>
      <c r="AW241" s="2" t="s">
        <v>164</v>
      </c>
      <c r="AX241" s="2" t="s">
        <v>165</v>
      </c>
      <c r="AY241" s="2" t="s">
        <v>656</v>
      </c>
      <c r="AZ241" s="2">
        <v>542</v>
      </c>
      <c r="BA241" s="2">
        <v>199</v>
      </c>
      <c r="BB241" s="44" t="str">
        <f>VLOOKUP(age_group[[#This Row],[trust_code]],trust_lookup[],3,0)</f>
        <v>SLAM</v>
      </c>
    </row>
    <row r="242" spans="1:54" x14ac:dyDescent="0.35">
      <c r="A242" s="2" t="s">
        <v>518</v>
      </c>
      <c r="B242" s="2" t="s">
        <v>136</v>
      </c>
      <c r="C242" s="2" t="s">
        <v>137</v>
      </c>
      <c r="D242" s="2" t="s">
        <v>27</v>
      </c>
      <c r="E242" s="2" t="s">
        <v>53</v>
      </c>
      <c r="F242" s="2">
        <v>446</v>
      </c>
      <c r="G242" s="2">
        <v>248</v>
      </c>
      <c r="H242" s="14" t="str">
        <f>VLOOKUP(flu_group[[#This Row],[trust_code]],trust_lookup[],3,0)</f>
        <v>Moorfields</v>
      </c>
      <c r="I242" s="14" t="str">
        <f>VLOOKUP(flu_group[[#This Row],[trust_code]],trust_lookup[],4,0)</f>
        <v>Specialist</v>
      </c>
      <c r="K242" s="2" t="s">
        <v>518</v>
      </c>
      <c r="L242" s="2" t="s">
        <v>48</v>
      </c>
      <c r="M242" s="2" t="s">
        <v>49</v>
      </c>
      <c r="N242" s="2" t="s">
        <v>192</v>
      </c>
      <c r="O242" s="2" t="s">
        <v>54</v>
      </c>
      <c r="P242" s="2">
        <v>126</v>
      </c>
      <c r="R242" s="43">
        <v>45635</v>
      </c>
      <c r="S242" s="2">
        <v>50</v>
      </c>
      <c r="T242" s="2" t="s">
        <v>519</v>
      </c>
      <c r="U242" s="2" t="s">
        <v>83</v>
      </c>
      <c r="V242" s="2" t="s">
        <v>84</v>
      </c>
      <c r="W242" s="2" t="s">
        <v>27</v>
      </c>
      <c r="X242" s="23">
        <v>62</v>
      </c>
      <c r="Y242" s="23">
        <v>1717</v>
      </c>
      <c r="Z242" s="23">
        <v>3957</v>
      </c>
      <c r="AA242" s="24">
        <v>0.433914581753853</v>
      </c>
      <c r="AB242" s="14" t="str">
        <f>VLOOKUP(flu_aw24[[#This Row],[trust_code]],trust_lookup[],3,0)</f>
        <v>GOSH</v>
      </c>
      <c r="AD242" s="43">
        <v>45915</v>
      </c>
      <c r="AE242" s="2">
        <v>38</v>
      </c>
      <c r="AF242" s="2" t="s">
        <v>518</v>
      </c>
      <c r="AG242" s="2" t="s">
        <v>182</v>
      </c>
      <c r="AH242" s="2" t="s">
        <v>183</v>
      </c>
      <c r="AI242" s="2" t="s">
        <v>27</v>
      </c>
      <c r="AJ242" s="23">
        <v>4</v>
      </c>
      <c r="AK242" s="23">
        <v>8</v>
      </c>
      <c r="AL242" s="23">
        <v>8259</v>
      </c>
      <c r="AM242" s="24">
        <v>9.6864027121927598E-4</v>
      </c>
      <c r="AN242" s="44" t="str">
        <f>VLOOKUP(flu_aw25[[#This Row],[trust_code]],trust_lookup[],3,0)</f>
        <v>UCLH</v>
      </c>
      <c r="AW242" s="2" t="s">
        <v>164</v>
      </c>
      <c r="AX242" s="2" t="s">
        <v>165</v>
      </c>
      <c r="AY242" s="2" t="s">
        <v>657</v>
      </c>
      <c r="AZ242" s="2">
        <v>475</v>
      </c>
      <c r="BA242" s="2">
        <v>212</v>
      </c>
      <c r="BB242" s="44" t="str">
        <f>VLOOKUP(age_group[[#This Row],[trust_code]],trust_lookup[],3,0)</f>
        <v>SLAM</v>
      </c>
    </row>
    <row r="243" spans="1:54" x14ac:dyDescent="0.35">
      <c r="A243" s="2" t="s">
        <v>518</v>
      </c>
      <c r="B243" s="2" t="s">
        <v>76</v>
      </c>
      <c r="C243" s="2" t="s">
        <v>77</v>
      </c>
      <c r="D243" s="2" t="s">
        <v>194</v>
      </c>
      <c r="E243" s="2" t="s">
        <v>53</v>
      </c>
      <c r="F243" s="2">
        <v>2024</v>
      </c>
      <c r="G243" s="2">
        <v>912</v>
      </c>
      <c r="H243" s="14" t="str">
        <f>VLOOKUP(flu_group[[#This Row],[trust_code]],trust_lookup[],3,0)</f>
        <v>Epsom</v>
      </c>
      <c r="I243" s="14" t="str">
        <f>VLOOKUP(flu_group[[#This Row],[trust_code]],trust_lookup[],4,0)</f>
        <v>Acute</v>
      </c>
      <c r="K243" s="2" t="s">
        <v>518</v>
      </c>
      <c r="L243" s="2" t="s">
        <v>48</v>
      </c>
      <c r="M243" s="2" t="s">
        <v>49</v>
      </c>
      <c r="N243" s="2" t="s">
        <v>192</v>
      </c>
      <c r="O243" s="2" t="s">
        <v>129</v>
      </c>
      <c r="P243" s="2">
        <v>12</v>
      </c>
      <c r="R243" s="43">
        <v>45642</v>
      </c>
      <c r="S243" s="2">
        <v>51</v>
      </c>
      <c r="T243" s="2" t="s">
        <v>519</v>
      </c>
      <c r="U243" s="2" t="s">
        <v>83</v>
      </c>
      <c r="V243" s="2" t="s">
        <v>84</v>
      </c>
      <c r="W243" s="2" t="s">
        <v>27</v>
      </c>
      <c r="X243" s="23">
        <v>15</v>
      </c>
      <c r="Y243" s="23">
        <v>1732</v>
      </c>
      <c r="Z243" s="23">
        <v>3957</v>
      </c>
      <c r="AA243" s="24">
        <v>0.437705332322466</v>
      </c>
      <c r="AB243" s="14" t="str">
        <f>VLOOKUP(flu_aw24[[#This Row],[trust_code]],trust_lookup[],3,0)</f>
        <v>GOSH</v>
      </c>
      <c r="AD243" s="43">
        <v>45922</v>
      </c>
      <c r="AE243" s="2">
        <v>39</v>
      </c>
      <c r="AF243" s="2" t="s">
        <v>518</v>
      </c>
      <c r="AG243" s="2" t="s">
        <v>182</v>
      </c>
      <c r="AH243" s="2" t="s">
        <v>183</v>
      </c>
      <c r="AI243" s="2" t="s">
        <v>27</v>
      </c>
      <c r="AJ243" s="23">
        <v>3</v>
      </c>
      <c r="AK243" s="23">
        <v>11</v>
      </c>
      <c r="AL243" s="23">
        <v>8259</v>
      </c>
      <c r="AM243" s="24">
        <v>1.3318803729264999E-3</v>
      </c>
      <c r="AN243" s="44" t="str">
        <f>VLOOKUP(flu_aw25[[#This Row],[trust_code]],trust_lookup[],3,0)</f>
        <v>UCLH</v>
      </c>
      <c r="AW243" s="2" t="s">
        <v>164</v>
      </c>
      <c r="AX243" s="2" t="s">
        <v>165</v>
      </c>
      <c r="AY243" s="2" t="s">
        <v>658</v>
      </c>
      <c r="AZ243" s="2">
        <v>348</v>
      </c>
      <c r="BA243" s="2">
        <v>158</v>
      </c>
      <c r="BB243" s="44" t="str">
        <f>VLOOKUP(age_group[[#This Row],[trust_code]],trust_lookup[],3,0)</f>
        <v>SLAM</v>
      </c>
    </row>
    <row r="244" spans="1:54" x14ac:dyDescent="0.35">
      <c r="A244" s="2" t="s">
        <v>518</v>
      </c>
      <c r="B244" s="2" t="s">
        <v>118</v>
      </c>
      <c r="C244" s="2" t="s">
        <v>119</v>
      </c>
      <c r="D244" s="2" t="s">
        <v>193</v>
      </c>
      <c r="E244" s="2" t="s">
        <v>53</v>
      </c>
      <c r="F244" s="2">
        <v>2752</v>
      </c>
      <c r="G244" s="2">
        <v>926</v>
      </c>
      <c r="H244" s="14" t="str">
        <f>VLOOKUP(flu_group[[#This Row],[trust_code]],trust_lookup[],3,0)</f>
        <v>L&amp;G</v>
      </c>
      <c r="I244" s="14" t="str">
        <f>VLOOKUP(flu_group[[#This Row],[trust_code]],trust_lookup[],4,0)</f>
        <v>Acute</v>
      </c>
      <c r="K244" s="2" t="s">
        <v>518</v>
      </c>
      <c r="L244" s="2" t="s">
        <v>48</v>
      </c>
      <c r="M244" s="2" t="s">
        <v>49</v>
      </c>
      <c r="N244" s="2" t="s">
        <v>192</v>
      </c>
      <c r="O244" s="2" t="s">
        <v>47</v>
      </c>
      <c r="P244" s="2">
        <v>16</v>
      </c>
      <c r="R244" s="43">
        <v>45649</v>
      </c>
      <c r="S244" s="2">
        <v>52</v>
      </c>
      <c r="T244" s="2" t="s">
        <v>519</v>
      </c>
      <c r="U244" s="2" t="s">
        <v>83</v>
      </c>
      <c r="V244" s="2" t="s">
        <v>84</v>
      </c>
      <c r="W244" s="2" t="s">
        <v>27</v>
      </c>
      <c r="X244" s="23">
        <v>4</v>
      </c>
      <c r="Y244" s="23">
        <v>1736</v>
      </c>
      <c r="Z244" s="23">
        <v>3957</v>
      </c>
      <c r="AA244" s="24">
        <v>0.43871619914076299</v>
      </c>
      <c r="AB244" s="14" t="str">
        <f>VLOOKUP(flu_aw24[[#This Row],[trust_code]],trust_lookup[],3,0)</f>
        <v>GOSH</v>
      </c>
      <c r="AD244" s="43">
        <v>45929</v>
      </c>
      <c r="AE244" s="2">
        <v>40</v>
      </c>
      <c r="AF244" s="2" t="s">
        <v>518</v>
      </c>
      <c r="AG244" s="2" t="s">
        <v>182</v>
      </c>
      <c r="AH244" s="2" t="s">
        <v>183</v>
      </c>
      <c r="AI244" s="2" t="s">
        <v>27</v>
      </c>
      <c r="AJ244" s="23">
        <v>360</v>
      </c>
      <c r="AK244" s="23">
        <v>371</v>
      </c>
      <c r="AL244" s="23">
        <v>8259</v>
      </c>
      <c r="AM244" s="24">
        <v>4.4920692577793901E-2</v>
      </c>
      <c r="AN244" s="44" t="str">
        <f>VLOOKUP(flu_aw25[[#This Row],[trust_code]],trust_lookup[],3,0)</f>
        <v>UCLH</v>
      </c>
      <c r="AW244" s="2" t="s">
        <v>164</v>
      </c>
      <c r="AX244" s="2" t="s">
        <v>165</v>
      </c>
      <c r="AY244" s="2" t="s">
        <v>659</v>
      </c>
      <c r="AZ244" s="2">
        <v>178</v>
      </c>
      <c r="BA244" s="2">
        <v>114</v>
      </c>
      <c r="BB244" s="44" t="str">
        <f>VLOOKUP(age_group[[#This Row],[trust_code]],trust_lookup[],3,0)</f>
        <v>SLAM</v>
      </c>
    </row>
    <row r="245" spans="1:54" x14ac:dyDescent="0.35">
      <c r="A245" s="2" t="s">
        <v>518</v>
      </c>
      <c r="B245" s="2" t="s">
        <v>124</v>
      </c>
      <c r="C245" s="2" t="s">
        <v>125</v>
      </c>
      <c r="D245" s="2" t="s">
        <v>192</v>
      </c>
      <c r="E245" s="2" t="s">
        <v>53</v>
      </c>
      <c r="F245" s="2">
        <v>22</v>
      </c>
      <c r="G245" s="2">
        <v>9</v>
      </c>
      <c r="H245" s="14" t="str">
        <f>VLOOKUP(flu_group[[#This Row],[trust_code]],trust_lookup[],3,0)</f>
        <v>LAS</v>
      </c>
      <c r="I245" s="14" t="str">
        <f>VLOOKUP(flu_group[[#This Row],[trust_code]],trust_lookup[],4,0)</f>
        <v>Ambulance</v>
      </c>
      <c r="K245" s="2" t="s">
        <v>518</v>
      </c>
      <c r="L245" s="2" t="s">
        <v>48</v>
      </c>
      <c r="M245" s="2" t="s">
        <v>49</v>
      </c>
      <c r="N245" s="2" t="s">
        <v>192</v>
      </c>
      <c r="O245" s="2" t="s">
        <v>94</v>
      </c>
      <c r="P245" s="2">
        <v>14</v>
      </c>
      <c r="R245" s="43">
        <v>45656</v>
      </c>
      <c r="S245" s="2">
        <v>1</v>
      </c>
      <c r="T245" s="2" t="s">
        <v>519</v>
      </c>
      <c r="U245" s="2" t="s">
        <v>83</v>
      </c>
      <c r="V245" s="2" t="s">
        <v>84</v>
      </c>
      <c r="W245" s="2" t="s">
        <v>27</v>
      </c>
      <c r="X245" s="23">
        <v>6</v>
      </c>
      <c r="Y245" s="23">
        <v>1742</v>
      </c>
      <c r="Z245" s="23">
        <v>3957</v>
      </c>
      <c r="AA245" s="24">
        <v>0.44023249936820802</v>
      </c>
      <c r="AB245" s="14" t="str">
        <f>VLOOKUP(flu_aw24[[#This Row],[trust_code]],trust_lookup[],3,0)</f>
        <v>GOSH</v>
      </c>
      <c r="AD245" s="43">
        <v>45936</v>
      </c>
      <c r="AE245" s="2">
        <v>41</v>
      </c>
      <c r="AF245" s="2" t="s">
        <v>518</v>
      </c>
      <c r="AG245" s="2" t="s">
        <v>182</v>
      </c>
      <c r="AH245" s="2" t="s">
        <v>183</v>
      </c>
      <c r="AI245" s="2" t="s">
        <v>27</v>
      </c>
      <c r="AJ245" s="23">
        <v>480</v>
      </c>
      <c r="AK245" s="23">
        <v>851</v>
      </c>
      <c r="AL245" s="23">
        <v>8259</v>
      </c>
      <c r="AM245" s="24">
        <v>0.10303910885095</v>
      </c>
      <c r="AN245" s="44" t="str">
        <f>VLOOKUP(flu_aw25[[#This Row],[trust_code]],trust_lookup[],3,0)</f>
        <v>UCLH</v>
      </c>
      <c r="AW245" s="2" t="s">
        <v>167</v>
      </c>
      <c r="AX245" s="2" t="s">
        <v>168</v>
      </c>
      <c r="AY245" s="2" t="s">
        <v>650</v>
      </c>
      <c r="AZ245" s="2">
        <v>98</v>
      </c>
      <c r="BA245" s="2">
        <v>20</v>
      </c>
      <c r="BB245" s="44" t="str">
        <f>VLOOKUP(age_group[[#This Row],[trust_code]],trust_lookup[],3,0)</f>
        <v>SWL&amp;StG</v>
      </c>
    </row>
    <row r="246" spans="1:54" x14ac:dyDescent="0.35">
      <c r="A246" s="2" t="s">
        <v>518</v>
      </c>
      <c r="B246" s="2" t="s">
        <v>48</v>
      </c>
      <c r="C246" s="2" t="s">
        <v>49</v>
      </c>
      <c r="D246" s="2" t="s">
        <v>192</v>
      </c>
      <c r="E246" s="2" t="s">
        <v>35</v>
      </c>
      <c r="F246" s="2">
        <v>41</v>
      </c>
      <c r="G246" s="2">
        <v>14</v>
      </c>
      <c r="H246" s="14" t="str">
        <f>VLOOKUP(flu_group[[#This Row],[trust_code]],trust_lookup[],3,0)</f>
        <v>CLCH</v>
      </c>
      <c r="I246" s="14" t="str">
        <f>VLOOKUP(flu_group[[#This Row],[trust_code]],trust_lookup[],4,0)</f>
        <v>Community</v>
      </c>
      <c r="K246" s="2" t="s">
        <v>518</v>
      </c>
      <c r="L246" s="2" t="s">
        <v>48</v>
      </c>
      <c r="M246" s="2" t="s">
        <v>49</v>
      </c>
      <c r="N246" s="2" t="s">
        <v>192</v>
      </c>
      <c r="O246" s="2" t="s">
        <v>29</v>
      </c>
      <c r="P246" s="2">
        <v>19</v>
      </c>
      <c r="R246" s="43">
        <v>45663</v>
      </c>
      <c r="S246" s="2">
        <v>2</v>
      </c>
      <c r="T246" s="2" t="s">
        <v>519</v>
      </c>
      <c r="U246" s="2" t="s">
        <v>83</v>
      </c>
      <c r="V246" s="2" t="s">
        <v>84</v>
      </c>
      <c r="W246" s="2" t="s">
        <v>27</v>
      </c>
      <c r="X246" s="23">
        <v>9</v>
      </c>
      <c r="Y246" s="23">
        <v>1751</v>
      </c>
      <c r="Z246" s="23">
        <v>3957</v>
      </c>
      <c r="AA246" s="24">
        <v>0.44250694970937499</v>
      </c>
      <c r="AB246" s="14" t="str">
        <f>VLOOKUP(flu_aw24[[#This Row],[trust_code]],trust_lookup[],3,0)</f>
        <v>GOSH</v>
      </c>
      <c r="AD246" s="43">
        <v>45943</v>
      </c>
      <c r="AE246" s="2">
        <v>42</v>
      </c>
      <c r="AF246" s="2" t="s">
        <v>518</v>
      </c>
      <c r="AG246" s="2" t="s">
        <v>182</v>
      </c>
      <c r="AH246" s="2" t="s">
        <v>183</v>
      </c>
      <c r="AI246" s="2" t="s">
        <v>27</v>
      </c>
      <c r="AJ246" s="23">
        <v>409</v>
      </c>
      <c r="AK246" s="23">
        <v>1260</v>
      </c>
      <c r="AL246" s="23">
        <v>8259</v>
      </c>
      <c r="AM246" s="24">
        <v>0.15256084271703499</v>
      </c>
      <c r="AN246" s="44" t="str">
        <f>VLOOKUP(flu_aw25[[#This Row],[trust_code]],trust_lookup[],3,0)</f>
        <v>UCLH</v>
      </c>
      <c r="AW246" s="2" t="s">
        <v>167</v>
      </c>
      <c r="AX246" s="2" t="s">
        <v>168</v>
      </c>
      <c r="AY246" s="2" t="s">
        <v>651</v>
      </c>
      <c r="AZ246" s="2">
        <v>210</v>
      </c>
      <c r="BA246" s="2">
        <v>68</v>
      </c>
      <c r="BB246" s="44" t="str">
        <f>VLOOKUP(age_group[[#This Row],[trust_code]],trust_lookup[],3,0)</f>
        <v>SWL&amp;StG</v>
      </c>
    </row>
    <row r="247" spans="1:54" x14ac:dyDescent="0.35">
      <c r="A247" s="2" t="s">
        <v>518</v>
      </c>
      <c r="B247" s="2" t="s">
        <v>182</v>
      </c>
      <c r="C247" s="2" t="s">
        <v>183</v>
      </c>
      <c r="D247" s="2" t="s">
        <v>27</v>
      </c>
      <c r="E247" s="2" t="s">
        <v>35</v>
      </c>
      <c r="F247" s="2">
        <v>57</v>
      </c>
      <c r="G247" s="2">
        <v>15</v>
      </c>
      <c r="H247" s="14" t="str">
        <f>VLOOKUP(flu_group[[#This Row],[trust_code]],trust_lookup[],3,0)</f>
        <v>UCLH</v>
      </c>
      <c r="I247" s="14" t="str">
        <f>VLOOKUP(flu_group[[#This Row],[trust_code]],trust_lookup[],4,0)</f>
        <v>Acute</v>
      </c>
      <c r="K247" s="2" t="s">
        <v>518</v>
      </c>
      <c r="L247" s="2" t="s">
        <v>48</v>
      </c>
      <c r="M247" s="2" t="s">
        <v>49</v>
      </c>
      <c r="N247" s="2" t="s">
        <v>192</v>
      </c>
      <c r="O247" s="2" t="s">
        <v>123</v>
      </c>
      <c r="P247" s="2">
        <v>132</v>
      </c>
      <c r="R247" s="43">
        <v>45670</v>
      </c>
      <c r="S247" s="2">
        <v>3</v>
      </c>
      <c r="T247" s="2" t="s">
        <v>519</v>
      </c>
      <c r="U247" s="2" t="s">
        <v>83</v>
      </c>
      <c r="V247" s="2" t="s">
        <v>84</v>
      </c>
      <c r="W247" s="2" t="s">
        <v>27</v>
      </c>
      <c r="X247" s="23">
        <v>8</v>
      </c>
      <c r="Y247" s="23">
        <v>1759</v>
      </c>
      <c r="Z247" s="23">
        <v>3957</v>
      </c>
      <c r="AA247" s="24">
        <v>0.44452868334596901</v>
      </c>
      <c r="AB247" s="14" t="str">
        <f>VLOOKUP(flu_aw24[[#This Row],[trust_code]],trust_lookup[],3,0)</f>
        <v>GOSH</v>
      </c>
      <c r="AD247" s="43">
        <v>45950</v>
      </c>
      <c r="AE247" s="2">
        <v>43</v>
      </c>
      <c r="AF247" s="2" t="s">
        <v>518</v>
      </c>
      <c r="AG247" s="2" t="s">
        <v>182</v>
      </c>
      <c r="AH247" s="2" t="s">
        <v>183</v>
      </c>
      <c r="AI247" s="2" t="s">
        <v>27</v>
      </c>
      <c r="AJ247" s="23">
        <v>361</v>
      </c>
      <c r="AK247" s="23">
        <v>1621</v>
      </c>
      <c r="AL247" s="23">
        <v>8259</v>
      </c>
      <c r="AM247" s="24">
        <v>0.19627073495580499</v>
      </c>
      <c r="AN247" s="44" t="str">
        <f>VLOOKUP(flu_aw25[[#This Row],[trust_code]],trust_lookup[],3,0)</f>
        <v>UCLH</v>
      </c>
      <c r="AW247" s="2" t="s">
        <v>167</v>
      </c>
      <c r="AX247" s="2" t="s">
        <v>168</v>
      </c>
      <c r="AY247" s="2" t="s">
        <v>652</v>
      </c>
      <c r="AZ247" s="2">
        <v>285</v>
      </c>
      <c r="BA247" s="2">
        <v>78</v>
      </c>
      <c r="BB247" s="44" t="str">
        <f>VLOOKUP(age_group[[#This Row],[trust_code]],trust_lookup[],3,0)</f>
        <v>SWL&amp;StG</v>
      </c>
    </row>
    <row r="248" spans="1:54" x14ac:dyDescent="0.35">
      <c r="A248" s="2" t="s">
        <v>518</v>
      </c>
      <c r="B248" s="2" t="s">
        <v>185</v>
      </c>
      <c r="C248" s="2" t="s">
        <v>186</v>
      </c>
      <c r="D248" s="2" t="s">
        <v>27</v>
      </c>
      <c r="E248" s="2" t="s">
        <v>35</v>
      </c>
      <c r="F248" s="2">
        <v>20</v>
      </c>
      <c r="G248" s="2">
        <v>8</v>
      </c>
      <c r="H248" s="14" t="str">
        <f>VLOOKUP(flu_group[[#This Row],[trust_code]],trust_lookup[],3,0)</f>
        <v>Whittington</v>
      </c>
      <c r="I248" s="14" t="str">
        <f>VLOOKUP(flu_group[[#This Row],[trust_code]],trust_lookup[],4,0)</f>
        <v>Acute &amp; Community</v>
      </c>
      <c r="K248" s="2" t="s">
        <v>518</v>
      </c>
      <c r="L248" s="2" t="s">
        <v>48</v>
      </c>
      <c r="M248" s="2" t="s">
        <v>49</v>
      </c>
      <c r="N248" s="2" t="s">
        <v>192</v>
      </c>
      <c r="O248" s="2" t="s">
        <v>82</v>
      </c>
      <c r="P248" s="2">
        <v>14</v>
      </c>
      <c r="R248" s="43">
        <v>45677</v>
      </c>
      <c r="S248" s="2">
        <v>4</v>
      </c>
      <c r="T248" s="2" t="s">
        <v>519</v>
      </c>
      <c r="U248" s="2" t="s">
        <v>83</v>
      </c>
      <c r="V248" s="2" t="s">
        <v>84</v>
      </c>
      <c r="W248" s="2" t="s">
        <v>27</v>
      </c>
      <c r="X248" s="23">
        <v>4</v>
      </c>
      <c r="Y248" s="23">
        <v>1763</v>
      </c>
      <c r="Z248" s="23">
        <v>3957</v>
      </c>
      <c r="AA248" s="24">
        <v>0.445539550164265</v>
      </c>
      <c r="AB248" s="14" t="str">
        <f>VLOOKUP(flu_aw24[[#This Row],[trust_code]],trust_lookup[],3,0)</f>
        <v>GOSH</v>
      </c>
      <c r="AD248" s="43">
        <v>45957</v>
      </c>
      <c r="AE248" s="2">
        <v>44</v>
      </c>
      <c r="AF248" s="2" t="s">
        <v>518</v>
      </c>
      <c r="AG248" s="2" t="s">
        <v>182</v>
      </c>
      <c r="AH248" s="2" t="s">
        <v>183</v>
      </c>
      <c r="AI248" s="2" t="s">
        <v>27</v>
      </c>
      <c r="AJ248" s="23">
        <v>359</v>
      </c>
      <c r="AK248" s="23">
        <v>1980</v>
      </c>
      <c r="AL248" s="23">
        <v>8259</v>
      </c>
      <c r="AM248" s="24">
        <v>0.23973846712676999</v>
      </c>
      <c r="AN248" s="44" t="str">
        <f>VLOOKUP(flu_aw25[[#This Row],[trust_code]],trust_lookup[],3,0)</f>
        <v>UCLH</v>
      </c>
      <c r="AW248" s="2" t="s">
        <v>167</v>
      </c>
      <c r="AX248" s="2" t="s">
        <v>168</v>
      </c>
      <c r="AY248" s="2" t="s">
        <v>653</v>
      </c>
      <c r="AZ248" s="2">
        <v>288</v>
      </c>
      <c r="BA248" s="2">
        <v>103</v>
      </c>
      <c r="BB248" s="44" t="str">
        <f>VLOOKUP(age_group[[#This Row],[trust_code]],trust_lookup[],3,0)</f>
        <v>SWL&amp;StG</v>
      </c>
    </row>
    <row r="249" spans="1:54" x14ac:dyDescent="0.35">
      <c r="A249" s="2" t="s">
        <v>518</v>
      </c>
      <c r="B249" s="2" t="s">
        <v>30</v>
      </c>
      <c r="C249" s="2" t="s">
        <v>31</v>
      </c>
      <c r="D249" s="2" t="s">
        <v>190</v>
      </c>
      <c r="E249" s="2" t="s">
        <v>35</v>
      </c>
      <c r="F249" s="2">
        <v>40</v>
      </c>
      <c r="G249" s="2">
        <v>9</v>
      </c>
      <c r="H249" s="14" t="str">
        <f>VLOOKUP(flu_group[[#This Row],[trust_code]],trust_lookup[],3,0)</f>
        <v>BHR</v>
      </c>
      <c r="I249" s="14" t="str">
        <f>VLOOKUP(flu_group[[#This Row],[trust_code]],trust_lookup[],4,0)</f>
        <v>Acute</v>
      </c>
      <c r="K249" s="2" t="s">
        <v>518</v>
      </c>
      <c r="L249" s="2" t="s">
        <v>48</v>
      </c>
      <c r="M249" s="2" t="s">
        <v>49</v>
      </c>
      <c r="N249" s="2" t="s">
        <v>192</v>
      </c>
      <c r="O249" s="2" t="s">
        <v>88</v>
      </c>
      <c r="P249" s="2">
        <v>8</v>
      </c>
      <c r="R249" s="43">
        <v>45684</v>
      </c>
      <c r="S249" s="2">
        <v>5</v>
      </c>
      <c r="T249" s="2" t="s">
        <v>519</v>
      </c>
      <c r="U249" s="2" t="s">
        <v>83</v>
      </c>
      <c r="V249" s="2" t="s">
        <v>84</v>
      </c>
      <c r="W249" s="2" t="s">
        <v>27</v>
      </c>
      <c r="X249" s="23">
        <v>2</v>
      </c>
      <c r="Y249" s="23">
        <v>1765</v>
      </c>
      <c r="Z249" s="23">
        <v>3957</v>
      </c>
      <c r="AA249" s="24">
        <v>0.44604498357341399</v>
      </c>
      <c r="AB249" s="14" t="str">
        <f>VLOOKUP(flu_aw24[[#This Row],[trust_code]],trust_lookup[],3,0)</f>
        <v>GOSH</v>
      </c>
      <c r="AD249" s="43">
        <v>45964</v>
      </c>
      <c r="AE249" s="2">
        <v>45</v>
      </c>
      <c r="AF249" s="2" t="s">
        <v>518</v>
      </c>
      <c r="AG249" s="2" t="s">
        <v>182</v>
      </c>
      <c r="AH249" s="2" t="s">
        <v>183</v>
      </c>
      <c r="AI249" s="2" t="s">
        <v>27</v>
      </c>
      <c r="AJ249" s="23">
        <v>252</v>
      </c>
      <c r="AK249" s="23">
        <v>2232</v>
      </c>
      <c r="AL249" s="23">
        <v>8259</v>
      </c>
      <c r="AM249" s="24">
        <v>0.27025063567017799</v>
      </c>
      <c r="AN249" s="44" t="str">
        <f>VLOOKUP(flu_aw25[[#This Row],[trust_code]],trust_lookup[],3,0)</f>
        <v>UCLH</v>
      </c>
      <c r="AW249" s="2" t="s">
        <v>167</v>
      </c>
      <c r="AX249" s="2" t="s">
        <v>168</v>
      </c>
      <c r="AY249" s="2" t="s">
        <v>654</v>
      </c>
      <c r="AZ249" s="2">
        <v>242</v>
      </c>
      <c r="BA249" s="2">
        <v>74</v>
      </c>
      <c r="BB249" s="44" t="str">
        <f>VLOOKUP(age_group[[#This Row],[trust_code]],trust_lookup[],3,0)</f>
        <v>SWL&amp;StG</v>
      </c>
    </row>
    <row r="250" spans="1:54" x14ac:dyDescent="0.35">
      <c r="A250" s="2" t="s">
        <v>518</v>
      </c>
      <c r="B250" s="2" t="s">
        <v>187</v>
      </c>
      <c r="C250" s="2" t="s">
        <v>188</v>
      </c>
      <c r="D250" s="2" t="s">
        <v>192</v>
      </c>
      <c r="E250" s="2" t="s">
        <v>35</v>
      </c>
      <c r="F250" s="2">
        <v>9</v>
      </c>
      <c r="G250" s="2">
        <v>2</v>
      </c>
      <c r="H250" s="14" t="str">
        <f>VLOOKUP(flu_group[[#This Row],[trust_code]],trust_lookup[],3,0)</f>
        <v>West London</v>
      </c>
      <c r="I250" s="14" t="str">
        <f>VLOOKUP(flu_group[[#This Row],[trust_code]],trust_lookup[],4,0)</f>
        <v>Mental Health &amp; Community</v>
      </c>
      <c r="K250" s="2" t="s">
        <v>518</v>
      </c>
      <c r="L250" s="2" t="s">
        <v>48</v>
      </c>
      <c r="M250" s="2" t="s">
        <v>49</v>
      </c>
      <c r="N250" s="2" t="s">
        <v>192</v>
      </c>
      <c r="O250" s="2" t="s">
        <v>141</v>
      </c>
      <c r="P250" s="2">
        <v>162</v>
      </c>
      <c r="R250" s="43">
        <v>45691</v>
      </c>
      <c r="S250" s="2">
        <v>6</v>
      </c>
      <c r="T250" s="2" t="s">
        <v>519</v>
      </c>
      <c r="U250" s="2" t="s">
        <v>83</v>
      </c>
      <c r="V250" s="2" t="s">
        <v>84</v>
      </c>
      <c r="W250" s="2" t="s">
        <v>27</v>
      </c>
      <c r="X250" s="23">
        <v>1</v>
      </c>
      <c r="Y250" s="23">
        <v>1766</v>
      </c>
      <c r="Z250" s="23">
        <v>3957</v>
      </c>
      <c r="AA250" s="24">
        <v>0.44629770027798799</v>
      </c>
      <c r="AB250" s="14" t="str">
        <f>VLOOKUP(flu_aw24[[#This Row],[trust_code]],trust_lookup[],3,0)</f>
        <v>GOSH</v>
      </c>
      <c r="AD250" s="43">
        <v>45971</v>
      </c>
      <c r="AE250" s="2">
        <v>46</v>
      </c>
      <c r="AF250" s="2" t="s">
        <v>518</v>
      </c>
      <c r="AG250" s="2" t="s">
        <v>182</v>
      </c>
      <c r="AH250" s="2" t="s">
        <v>183</v>
      </c>
      <c r="AI250" s="2" t="s">
        <v>27</v>
      </c>
      <c r="AJ250" s="23">
        <v>290</v>
      </c>
      <c r="AK250" s="23">
        <v>2522</v>
      </c>
      <c r="AL250" s="23">
        <v>8259</v>
      </c>
      <c r="AM250" s="24">
        <v>0.30536384550187601</v>
      </c>
      <c r="AN250" s="44" t="str">
        <f>VLOOKUP(flu_aw25[[#This Row],[trust_code]],trust_lookup[],3,0)</f>
        <v>UCLH</v>
      </c>
      <c r="AW250" s="2" t="s">
        <v>167</v>
      </c>
      <c r="AX250" s="2" t="s">
        <v>168</v>
      </c>
      <c r="AY250" s="2" t="s">
        <v>655</v>
      </c>
      <c r="AZ250" s="2">
        <v>309</v>
      </c>
      <c r="BA250" s="2">
        <v>81</v>
      </c>
      <c r="BB250" s="44" t="str">
        <f>VLOOKUP(age_group[[#This Row],[trust_code]],trust_lookup[],3,0)</f>
        <v>SWL&amp;StG</v>
      </c>
    </row>
    <row r="251" spans="1:54" x14ac:dyDescent="0.35">
      <c r="A251" s="2" t="s">
        <v>518</v>
      </c>
      <c r="B251" s="2" t="s">
        <v>37</v>
      </c>
      <c r="C251" s="2" t="s">
        <v>38</v>
      </c>
      <c r="D251" s="2" t="s">
        <v>190</v>
      </c>
      <c r="E251" s="2" t="s">
        <v>35</v>
      </c>
      <c r="F251" s="2">
        <v>29</v>
      </c>
      <c r="G251" s="2">
        <v>5</v>
      </c>
      <c r="H251" s="14" t="str">
        <f>VLOOKUP(flu_group[[#This Row],[trust_code]],trust_lookup[],3,0)</f>
        <v>Barts</v>
      </c>
      <c r="I251" s="14" t="str">
        <f>VLOOKUP(flu_group[[#This Row],[trust_code]],trust_lookup[],4,0)</f>
        <v>Acute</v>
      </c>
      <c r="K251" s="2" t="s">
        <v>518</v>
      </c>
      <c r="L251" s="2" t="s">
        <v>48</v>
      </c>
      <c r="M251" s="2" t="s">
        <v>49</v>
      </c>
      <c r="N251" s="2" t="s">
        <v>192</v>
      </c>
      <c r="O251" s="2" t="s">
        <v>61</v>
      </c>
      <c r="P251" s="2">
        <v>60</v>
      </c>
      <c r="R251" s="43">
        <v>45698</v>
      </c>
      <c r="S251" s="2">
        <v>7</v>
      </c>
      <c r="T251" s="2" t="s">
        <v>519</v>
      </c>
      <c r="U251" s="2" t="s">
        <v>83</v>
      </c>
      <c r="V251" s="2" t="s">
        <v>84</v>
      </c>
      <c r="W251" s="2" t="s">
        <v>27</v>
      </c>
      <c r="X251" s="23">
        <v>3</v>
      </c>
      <c r="Y251" s="23">
        <v>1769</v>
      </c>
      <c r="Z251" s="23">
        <v>3957</v>
      </c>
      <c r="AA251" s="24">
        <v>0.44705585039170997</v>
      </c>
      <c r="AB251" s="14" t="str">
        <f>VLOOKUP(flu_aw24[[#This Row],[trust_code]],trust_lookup[],3,0)</f>
        <v>GOSH</v>
      </c>
      <c r="AD251" s="43">
        <v>45978</v>
      </c>
      <c r="AE251" s="2">
        <v>47</v>
      </c>
      <c r="AF251" s="2" t="s">
        <v>518</v>
      </c>
      <c r="AG251" s="2" t="s">
        <v>182</v>
      </c>
      <c r="AH251" s="2" t="s">
        <v>183</v>
      </c>
      <c r="AI251" s="2" t="s">
        <v>27</v>
      </c>
      <c r="AJ251" s="23">
        <v>188</v>
      </c>
      <c r="AK251" s="23">
        <v>2710</v>
      </c>
      <c r="AL251" s="23">
        <v>8259</v>
      </c>
      <c r="AM251" s="24">
        <v>0.32812689187552901</v>
      </c>
      <c r="AN251" s="44" t="str">
        <f>VLOOKUP(flu_aw25[[#This Row],[trust_code]],trust_lookup[],3,0)</f>
        <v>UCLH</v>
      </c>
      <c r="AW251" s="2" t="s">
        <v>167</v>
      </c>
      <c r="AX251" s="2" t="s">
        <v>168</v>
      </c>
      <c r="AY251" s="2" t="s">
        <v>656</v>
      </c>
      <c r="AZ251" s="2">
        <v>300</v>
      </c>
      <c r="BA251" s="2">
        <v>109</v>
      </c>
      <c r="BB251" s="44" t="str">
        <f>VLOOKUP(age_group[[#This Row],[trust_code]],trust_lookup[],3,0)</f>
        <v>SWL&amp;StG</v>
      </c>
    </row>
    <row r="252" spans="1:54" x14ac:dyDescent="0.35">
      <c r="A252" s="2" t="s">
        <v>518</v>
      </c>
      <c r="B252" s="2" t="s">
        <v>69</v>
      </c>
      <c r="C252" s="2" t="s">
        <v>70</v>
      </c>
      <c r="D252" s="2" t="s">
        <v>190</v>
      </c>
      <c r="E252" s="2" t="s">
        <v>35</v>
      </c>
      <c r="F252" s="2">
        <v>74</v>
      </c>
      <c r="G252" s="2">
        <v>11</v>
      </c>
      <c r="H252" s="14" t="str">
        <f>VLOOKUP(flu_group[[#This Row],[trust_code]],trust_lookup[],3,0)</f>
        <v>ELFT</v>
      </c>
      <c r="I252" s="14" t="str">
        <f>VLOOKUP(flu_group[[#This Row],[trust_code]],trust_lookup[],4,0)</f>
        <v>Mental Health &amp; Community</v>
      </c>
      <c r="K252" s="2" t="s">
        <v>518</v>
      </c>
      <c r="L252" s="2" t="s">
        <v>48</v>
      </c>
      <c r="M252" s="2" t="s">
        <v>49</v>
      </c>
      <c r="N252" s="2" t="s">
        <v>192</v>
      </c>
      <c r="O252" s="2" t="s">
        <v>100</v>
      </c>
      <c r="P252" s="2">
        <v>146</v>
      </c>
      <c r="R252" s="43">
        <v>45705</v>
      </c>
      <c r="S252" s="2">
        <v>8</v>
      </c>
      <c r="T252" s="2" t="s">
        <v>519</v>
      </c>
      <c r="U252" s="2" t="s">
        <v>83</v>
      </c>
      <c r="V252" s="2" t="s">
        <v>84</v>
      </c>
      <c r="W252" s="2" t="s">
        <v>27</v>
      </c>
      <c r="X252" s="23">
        <v>3</v>
      </c>
      <c r="Y252" s="23">
        <v>1772</v>
      </c>
      <c r="Z252" s="23">
        <v>3957</v>
      </c>
      <c r="AA252" s="24">
        <v>0.44781400050543302</v>
      </c>
      <c r="AB252" s="14" t="str">
        <f>VLOOKUP(flu_aw24[[#This Row],[trust_code]],trust_lookup[],3,0)</f>
        <v>GOSH</v>
      </c>
      <c r="AD252" s="43">
        <v>45985</v>
      </c>
      <c r="AE252" s="2">
        <v>48</v>
      </c>
      <c r="AF252" s="2" t="s">
        <v>518</v>
      </c>
      <c r="AG252" s="2" t="s">
        <v>182</v>
      </c>
      <c r="AH252" s="2" t="s">
        <v>183</v>
      </c>
      <c r="AI252" s="2" t="s">
        <v>27</v>
      </c>
      <c r="AJ252" s="23">
        <v>138</v>
      </c>
      <c r="AK252" s="23">
        <v>2848</v>
      </c>
      <c r="AL252" s="23">
        <v>8259</v>
      </c>
      <c r="AM252" s="24">
        <v>0.34483593655406197</v>
      </c>
      <c r="AN252" s="44" t="str">
        <f>VLOOKUP(flu_aw25[[#This Row],[trust_code]],trust_lookup[],3,0)</f>
        <v>UCLH</v>
      </c>
      <c r="AW252" s="2" t="s">
        <v>167</v>
      </c>
      <c r="AX252" s="2" t="s">
        <v>168</v>
      </c>
      <c r="AY252" s="2" t="s">
        <v>657</v>
      </c>
      <c r="AZ252" s="2">
        <v>263</v>
      </c>
      <c r="BA252" s="2">
        <v>105</v>
      </c>
      <c r="BB252" s="44" t="str">
        <f>VLOOKUP(age_group[[#This Row],[trust_code]],trust_lookup[],3,0)</f>
        <v>SWL&amp;StG</v>
      </c>
    </row>
    <row r="253" spans="1:54" x14ac:dyDescent="0.35">
      <c r="A253" s="2" t="s">
        <v>518</v>
      </c>
      <c r="B253" s="2" t="s">
        <v>164</v>
      </c>
      <c r="C253" s="2" t="s">
        <v>165</v>
      </c>
      <c r="D253" s="2" t="s">
        <v>193</v>
      </c>
      <c r="E253" s="2" t="s">
        <v>35</v>
      </c>
      <c r="F253" s="2">
        <v>14</v>
      </c>
      <c r="G253" s="2">
        <v>7</v>
      </c>
      <c r="H253" s="14" t="str">
        <f>VLOOKUP(flu_group[[#This Row],[trust_code]],trust_lookup[],3,0)</f>
        <v>SLAM</v>
      </c>
      <c r="I253" s="14" t="str">
        <f>VLOOKUP(flu_group[[#This Row],[trust_code]],trust_lookup[],4,0)</f>
        <v>Mental Health</v>
      </c>
      <c r="K253" s="2" t="s">
        <v>518</v>
      </c>
      <c r="L253" s="2" t="s">
        <v>48</v>
      </c>
      <c r="M253" s="2" t="s">
        <v>49</v>
      </c>
      <c r="N253" s="2" t="s">
        <v>192</v>
      </c>
      <c r="O253" s="2" t="s">
        <v>75</v>
      </c>
      <c r="P253" s="2">
        <v>40</v>
      </c>
      <c r="R253" s="43">
        <v>45719</v>
      </c>
      <c r="S253" s="2">
        <v>10</v>
      </c>
      <c r="T253" s="2" t="s">
        <v>519</v>
      </c>
      <c r="U253" s="2" t="s">
        <v>83</v>
      </c>
      <c r="V253" s="2" t="s">
        <v>84</v>
      </c>
      <c r="W253" s="2" t="s">
        <v>27</v>
      </c>
      <c r="X253" s="23">
        <v>3</v>
      </c>
      <c r="Y253" s="23">
        <v>1775</v>
      </c>
      <c r="Z253" s="23">
        <v>3957</v>
      </c>
      <c r="AA253" s="24">
        <v>0.44857215061915501</v>
      </c>
      <c r="AB253" s="14" t="str">
        <f>VLOOKUP(flu_aw24[[#This Row],[trust_code]],trust_lookup[],3,0)</f>
        <v>GOSH</v>
      </c>
      <c r="AD253" s="43">
        <v>45992</v>
      </c>
      <c r="AE253" s="2">
        <v>49</v>
      </c>
      <c r="AF253" s="2" t="s">
        <v>518</v>
      </c>
      <c r="AG253" s="2" t="s">
        <v>182</v>
      </c>
      <c r="AH253" s="2" t="s">
        <v>183</v>
      </c>
      <c r="AI253" s="2" t="s">
        <v>27</v>
      </c>
      <c r="AJ253" s="23">
        <v>181</v>
      </c>
      <c r="AK253" s="23">
        <v>3029</v>
      </c>
      <c r="AL253" s="23">
        <v>8259</v>
      </c>
      <c r="AM253" s="24">
        <v>0.36675142269039801</v>
      </c>
      <c r="AN253" s="44" t="str">
        <f>VLOOKUP(flu_aw25[[#This Row],[trust_code]],trust_lookup[],3,0)</f>
        <v>UCLH</v>
      </c>
      <c r="AW253" s="2" t="s">
        <v>167</v>
      </c>
      <c r="AX253" s="2" t="s">
        <v>168</v>
      </c>
      <c r="AY253" s="2" t="s">
        <v>658</v>
      </c>
      <c r="AZ253" s="2">
        <v>217</v>
      </c>
      <c r="BA253" s="2">
        <v>106</v>
      </c>
      <c r="BB253" s="44" t="str">
        <f>VLOOKUP(age_group[[#This Row],[trust_code]],trust_lookup[],3,0)</f>
        <v>SWL&amp;StG</v>
      </c>
    </row>
    <row r="254" spans="1:54" x14ac:dyDescent="0.35">
      <c r="A254" s="2" t="s">
        <v>518</v>
      </c>
      <c r="B254" s="2" t="s">
        <v>95</v>
      </c>
      <c r="C254" s="2" t="s">
        <v>96</v>
      </c>
      <c r="D254" s="2" t="s">
        <v>190</v>
      </c>
      <c r="E254" s="2" t="s">
        <v>35</v>
      </c>
      <c r="F254" s="2">
        <v>22</v>
      </c>
      <c r="G254" s="2">
        <v>6</v>
      </c>
      <c r="H254" s="14" t="str">
        <f>VLOOKUP(flu_group[[#This Row],[trust_code]],trust_lookup[],3,0)</f>
        <v>Homerton</v>
      </c>
      <c r="I254" s="14" t="str">
        <f>VLOOKUP(flu_group[[#This Row],[trust_code]],trust_lookup[],4,0)</f>
        <v>Acute</v>
      </c>
      <c r="K254" s="2" t="s">
        <v>518</v>
      </c>
      <c r="L254" s="2" t="s">
        <v>48</v>
      </c>
      <c r="M254" s="2" t="s">
        <v>49</v>
      </c>
      <c r="N254" s="2" t="s">
        <v>192</v>
      </c>
      <c r="O254" s="2" t="s">
        <v>106</v>
      </c>
      <c r="P254" s="2">
        <v>13</v>
      </c>
      <c r="R254" s="43">
        <v>45726</v>
      </c>
      <c r="S254" s="2">
        <v>11</v>
      </c>
      <c r="T254" s="2" t="s">
        <v>519</v>
      </c>
      <c r="U254" s="2" t="s">
        <v>83</v>
      </c>
      <c r="V254" s="2" t="s">
        <v>84</v>
      </c>
      <c r="W254" s="2" t="s">
        <v>27</v>
      </c>
      <c r="X254" s="23">
        <v>1</v>
      </c>
      <c r="Y254" s="23">
        <v>1776</v>
      </c>
      <c r="Z254" s="23">
        <v>3957</v>
      </c>
      <c r="AA254" s="24">
        <v>0.44882486732373</v>
      </c>
      <c r="AB254" s="14" t="str">
        <f>VLOOKUP(flu_aw24[[#This Row],[trust_code]],trust_lookup[],3,0)</f>
        <v>GOSH</v>
      </c>
      <c r="AD254" s="43">
        <v>45999</v>
      </c>
      <c r="AE254" s="2">
        <v>50</v>
      </c>
      <c r="AF254" s="2" t="s">
        <v>518</v>
      </c>
      <c r="AG254" s="2" t="s">
        <v>182</v>
      </c>
      <c r="AH254" s="2" t="s">
        <v>183</v>
      </c>
      <c r="AI254" s="2" t="s">
        <v>27</v>
      </c>
      <c r="AJ254" s="23">
        <v>201</v>
      </c>
      <c r="AK254" s="23">
        <v>3230</v>
      </c>
      <c r="AL254" s="23">
        <v>8259</v>
      </c>
      <c r="AM254" s="24">
        <v>0.39108850950478202</v>
      </c>
      <c r="AN254" s="44" t="str">
        <f>VLOOKUP(flu_aw25[[#This Row],[trust_code]],trust_lookup[],3,0)</f>
        <v>UCLH</v>
      </c>
      <c r="AW254" s="2" t="s">
        <v>167</v>
      </c>
      <c r="AX254" s="2" t="s">
        <v>168</v>
      </c>
      <c r="AY254" s="2" t="s">
        <v>659</v>
      </c>
      <c r="AZ254" s="2">
        <v>132</v>
      </c>
      <c r="BA254" s="2">
        <v>78</v>
      </c>
      <c r="BB254" s="44" t="str">
        <f>VLOOKUP(age_group[[#This Row],[trust_code]],trust_lookup[],3,0)</f>
        <v>SWL&amp;StG</v>
      </c>
    </row>
    <row r="255" spans="1:54" x14ac:dyDescent="0.35">
      <c r="A255" s="2" t="s">
        <v>518</v>
      </c>
      <c r="B255" s="2" t="s">
        <v>25</v>
      </c>
      <c r="C255" s="2" t="s">
        <v>26</v>
      </c>
      <c r="D255" s="2" t="s">
        <v>192</v>
      </c>
      <c r="E255" s="2" t="s">
        <v>35</v>
      </c>
      <c r="F255" s="2">
        <v>46</v>
      </c>
      <c r="G255" s="2">
        <v>18</v>
      </c>
      <c r="H255" s="14" t="str">
        <f>VLOOKUP(flu_group[[#This Row],[trust_code]],trust_lookup[],3,0)</f>
        <v>CNWL</v>
      </c>
      <c r="I255" s="14" t="str">
        <f>VLOOKUP(flu_group[[#This Row],[trust_code]],trust_lookup[],4,0)</f>
        <v>Mental Health &amp; Community</v>
      </c>
      <c r="K255" s="2" t="s">
        <v>518</v>
      </c>
      <c r="L255" s="2" t="s">
        <v>48</v>
      </c>
      <c r="M255" s="2" t="s">
        <v>49</v>
      </c>
      <c r="N255" s="2" t="s">
        <v>192</v>
      </c>
      <c r="O255" s="2" t="s">
        <v>112</v>
      </c>
      <c r="P255" s="2">
        <v>77</v>
      </c>
      <c r="R255" s="43">
        <v>45537</v>
      </c>
      <c r="S255" s="2">
        <v>36</v>
      </c>
      <c r="T255" s="2" t="s">
        <v>519</v>
      </c>
      <c r="U255" s="2" t="s">
        <v>89</v>
      </c>
      <c r="V255" s="2" t="s">
        <v>90</v>
      </c>
      <c r="W255" s="2" t="s">
        <v>193</v>
      </c>
      <c r="X255" s="23">
        <v>3</v>
      </c>
      <c r="Y255" s="23">
        <v>3</v>
      </c>
      <c r="Z255" s="23">
        <v>17148</v>
      </c>
      <c r="AA255" s="24">
        <v>1.74947515745276E-4</v>
      </c>
      <c r="AB255" s="14" t="str">
        <f>VLOOKUP(flu_aw24[[#This Row],[trust_code]],trust_lookup[],3,0)</f>
        <v>GSTT</v>
      </c>
      <c r="AD255" s="43">
        <v>46006</v>
      </c>
      <c r="AE255" s="2">
        <v>51</v>
      </c>
      <c r="AF255" s="2" t="s">
        <v>518</v>
      </c>
      <c r="AG255" s="2" t="s">
        <v>182</v>
      </c>
      <c r="AH255" s="2" t="s">
        <v>183</v>
      </c>
      <c r="AI255" s="2" t="s">
        <v>27</v>
      </c>
      <c r="AJ255" s="23">
        <v>195</v>
      </c>
      <c r="AK255" s="23">
        <v>3425</v>
      </c>
      <c r="AL255" s="23">
        <v>8259</v>
      </c>
      <c r="AM255" s="24">
        <v>0.414699116115752</v>
      </c>
      <c r="AN255" s="44" t="str">
        <f>VLOOKUP(flu_aw25[[#This Row],[trust_code]],trust_lookup[],3,0)</f>
        <v>UCLH</v>
      </c>
      <c r="AW255" s="2" t="s">
        <v>170</v>
      </c>
      <c r="AX255" s="2" t="s">
        <v>171</v>
      </c>
      <c r="AY255" s="2" t="s">
        <v>650</v>
      </c>
      <c r="AZ255" s="2">
        <v>322</v>
      </c>
      <c r="BA255" s="2">
        <v>91</v>
      </c>
      <c r="BB255" s="44" t="str">
        <f>VLOOKUP(age_group[[#This Row],[trust_code]],trust_lookup[],3,0)</f>
        <v>St George's</v>
      </c>
    </row>
    <row r="256" spans="1:54" x14ac:dyDescent="0.35">
      <c r="A256" s="2" t="s">
        <v>518</v>
      </c>
      <c r="B256" s="2" t="s">
        <v>173</v>
      </c>
      <c r="C256" s="2" t="s">
        <v>174</v>
      </c>
      <c r="D256" s="2" t="s">
        <v>27</v>
      </c>
      <c r="E256" s="2" t="s">
        <v>35</v>
      </c>
      <c r="F256" s="2">
        <v>34</v>
      </c>
      <c r="G256" s="2">
        <v>14</v>
      </c>
      <c r="H256" s="14" t="str">
        <f>VLOOKUP(flu_group[[#This Row],[trust_code]],trust_lookup[],3,0)</f>
        <v>T&amp;P</v>
      </c>
      <c r="I256" s="14" t="str">
        <f>VLOOKUP(flu_group[[#This Row],[trust_code]],trust_lookup[],4,0)</f>
        <v>Mental Health</v>
      </c>
      <c r="K256" s="2" t="s">
        <v>518</v>
      </c>
      <c r="L256" s="2" t="s">
        <v>48</v>
      </c>
      <c r="M256" s="2" t="s">
        <v>49</v>
      </c>
      <c r="N256" s="2" t="s">
        <v>192</v>
      </c>
      <c r="O256" s="2" t="s">
        <v>36</v>
      </c>
      <c r="P256" s="2">
        <v>114</v>
      </c>
      <c r="R256" s="43">
        <v>45544</v>
      </c>
      <c r="S256" s="2">
        <v>37</v>
      </c>
      <c r="T256" s="2" t="s">
        <v>519</v>
      </c>
      <c r="U256" s="2" t="s">
        <v>89</v>
      </c>
      <c r="V256" s="2" t="s">
        <v>90</v>
      </c>
      <c r="W256" s="2" t="s">
        <v>193</v>
      </c>
      <c r="X256" s="23">
        <v>6</v>
      </c>
      <c r="Y256" s="23">
        <v>9</v>
      </c>
      <c r="Z256" s="23">
        <v>17148</v>
      </c>
      <c r="AA256" s="24">
        <v>5.24842547235829E-4</v>
      </c>
      <c r="AB256" s="14" t="str">
        <f>VLOOKUP(flu_aw24[[#This Row],[trust_code]],trust_lookup[],3,0)</f>
        <v>GSTT</v>
      </c>
      <c r="AD256" s="43">
        <v>46013</v>
      </c>
      <c r="AE256" s="2">
        <v>52</v>
      </c>
      <c r="AF256" s="2" t="s">
        <v>518</v>
      </c>
      <c r="AG256" s="2" t="s">
        <v>182</v>
      </c>
      <c r="AH256" s="2" t="s">
        <v>183</v>
      </c>
      <c r="AI256" s="2" t="s">
        <v>27</v>
      </c>
      <c r="AJ256" s="23">
        <v>24</v>
      </c>
      <c r="AK256" s="23">
        <v>3449</v>
      </c>
      <c r="AL256" s="23">
        <v>8259</v>
      </c>
      <c r="AM256" s="24">
        <v>0.41760503692940998</v>
      </c>
      <c r="AN256" s="44" t="str">
        <f>VLOOKUP(flu_aw25[[#This Row],[trust_code]],trust_lookup[],3,0)</f>
        <v>UCLH</v>
      </c>
      <c r="AW256" s="2" t="s">
        <v>170</v>
      </c>
      <c r="AX256" s="2" t="s">
        <v>171</v>
      </c>
      <c r="AY256" s="2" t="s">
        <v>651</v>
      </c>
      <c r="AZ256" s="2">
        <v>922</v>
      </c>
      <c r="BA256" s="2">
        <v>341</v>
      </c>
      <c r="BB256" s="44" t="str">
        <f>VLOOKUP(age_group[[#This Row],[trust_code]],trust_lookup[],3,0)</f>
        <v>St George's</v>
      </c>
    </row>
    <row r="257" spans="1:54" x14ac:dyDescent="0.35">
      <c r="A257" s="2" t="s">
        <v>518</v>
      </c>
      <c r="B257" s="2" t="s">
        <v>107</v>
      </c>
      <c r="C257" s="2" t="s">
        <v>108</v>
      </c>
      <c r="D257" s="2" t="s">
        <v>193</v>
      </c>
      <c r="E257" s="2" t="s">
        <v>35</v>
      </c>
      <c r="F257" s="2">
        <v>14</v>
      </c>
      <c r="G257" s="2">
        <v>4</v>
      </c>
      <c r="H257" s="14" t="str">
        <f>VLOOKUP(flu_group[[#This Row],[trust_code]],trust_lookup[],3,0)</f>
        <v>King's</v>
      </c>
      <c r="I257" s="14" t="str">
        <f>VLOOKUP(flu_group[[#This Row],[trust_code]],trust_lookup[],4,0)</f>
        <v>Acute</v>
      </c>
      <c r="K257" s="2" t="s">
        <v>518</v>
      </c>
      <c r="L257" s="2" t="s">
        <v>55</v>
      </c>
      <c r="M257" s="2" t="s">
        <v>56</v>
      </c>
      <c r="N257" s="2" t="s">
        <v>192</v>
      </c>
      <c r="O257" s="2" t="s">
        <v>68</v>
      </c>
      <c r="P257" s="2">
        <v>729</v>
      </c>
      <c r="R257" s="43">
        <v>45551</v>
      </c>
      <c r="S257" s="2">
        <v>38</v>
      </c>
      <c r="T257" s="2" t="s">
        <v>519</v>
      </c>
      <c r="U257" s="2" t="s">
        <v>89</v>
      </c>
      <c r="V257" s="2" t="s">
        <v>90</v>
      </c>
      <c r="W257" s="2" t="s">
        <v>193</v>
      </c>
      <c r="X257" s="23">
        <v>18</v>
      </c>
      <c r="Y257" s="23">
        <v>27</v>
      </c>
      <c r="Z257" s="23">
        <v>17148</v>
      </c>
      <c r="AA257" s="24">
        <v>1.5745276417074799E-3</v>
      </c>
      <c r="AB257" s="14" t="str">
        <f>VLOOKUP(flu_aw24[[#This Row],[trust_code]],trust_lookup[],3,0)</f>
        <v>GSTT</v>
      </c>
      <c r="AD257" s="43">
        <v>46020</v>
      </c>
      <c r="AE257" s="2">
        <v>1</v>
      </c>
      <c r="AF257" s="2" t="s">
        <v>518</v>
      </c>
      <c r="AG257" s="2" t="s">
        <v>182</v>
      </c>
      <c r="AH257" s="2" t="s">
        <v>183</v>
      </c>
      <c r="AI257" s="2" t="s">
        <v>27</v>
      </c>
      <c r="AJ257" s="23">
        <v>36</v>
      </c>
      <c r="AK257" s="23">
        <v>3485</v>
      </c>
      <c r="AL257" s="23">
        <v>8259</v>
      </c>
      <c r="AM257" s="24">
        <v>0.42196391814989698</v>
      </c>
      <c r="AN257" s="44" t="str">
        <f>VLOOKUP(flu_aw25[[#This Row],[trust_code]],trust_lookup[],3,0)</f>
        <v>UCLH</v>
      </c>
      <c r="AW257" s="2" t="s">
        <v>170</v>
      </c>
      <c r="AX257" s="2" t="s">
        <v>171</v>
      </c>
      <c r="AY257" s="2" t="s">
        <v>652</v>
      </c>
      <c r="AZ257" s="2">
        <v>1125</v>
      </c>
      <c r="BA257" s="2">
        <v>456</v>
      </c>
      <c r="BB257" s="44" t="str">
        <f>VLOOKUP(age_group[[#This Row],[trust_code]],trust_lookup[],3,0)</f>
        <v>St George's</v>
      </c>
    </row>
    <row r="258" spans="1:54" x14ac:dyDescent="0.35">
      <c r="A258" s="2" t="s">
        <v>518</v>
      </c>
      <c r="B258" s="2" t="s">
        <v>147</v>
      </c>
      <c r="C258" s="2" t="s">
        <v>148</v>
      </c>
      <c r="D258" s="2" t="s">
        <v>27</v>
      </c>
      <c r="E258" s="2" t="s">
        <v>35</v>
      </c>
      <c r="F258" s="2">
        <v>18</v>
      </c>
      <c r="G258" s="2">
        <v>3</v>
      </c>
      <c r="H258" s="14" t="str">
        <f>VLOOKUP(flu_group[[#This Row],[trust_code]],trust_lookup[],3,0)</f>
        <v>North London</v>
      </c>
      <c r="I258" s="14" t="str">
        <f>VLOOKUP(flu_group[[#This Row],[trust_code]],trust_lookup[],4,0)</f>
        <v>Mental Health</v>
      </c>
      <c r="K258" s="2" t="s">
        <v>518</v>
      </c>
      <c r="L258" s="2" t="s">
        <v>55</v>
      </c>
      <c r="M258" s="2" t="s">
        <v>56</v>
      </c>
      <c r="N258" s="2" t="s">
        <v>192</v>
      </c>
      <c r="O258" s="2" t="s">
        <v>135</v>
      </c>
      <c r="P258" s="2">
        <v>39</v>
      </c>
      <c r="R258" s="43">
        <v>45558</v>
      </c>
      <c r="S258" s="2">
        <v>39</v>
      </c>
      <c r="T258" s="2" t="s">
        <v>519</v>
      </c>
      <c r="U258" s="2" t="s">
        <v>89</v>
      </c>
      <c r="V258" s="2" t="s">
        <v>90</v>
      </c>
      <c r="W258" s="2" t="s">
        <v>193</v>
      </c>
      <c r="X258" s="23">
        <v>17</v>
      </c>
      <c r="Y258" s="23">
        <v>44</v>
      </c>
      <c r="Z258" s="23">
        <v>17148</v>
      </c>
      <c r="AA258" s="24">
        <v>2.5658968975973799E-3</v>
      </c>
      <c r="AB258" s="14" t="str">
        <f>VLOOKUP(flu_aw24[[#This Row],[trust_code]],trust_lookup[],3,0)</f>
        <v>GSTT</v>
      </c>
      <c r="AD258" s="43">
        <v>46027</v>
      </c>
      <c r="AE258" s="2">
        <v>2</v>
      </c>
      <c r="AF258" s="2" t="s">
        <v>518</v>
      </c>
      <c r="AG258" s="2" t="s">
        <v>182</v>
      </c>
      <c r="AH258" s="2" t="s">
        <v>183</v>
      </c>
      <c r="AI258" s="2" t="s">
        <v>27</v>
      </c>
      <c r="AJ258" s="23">
        <v>43</v>
      </c>
      <c r="AK258" s="23">
        <v>3528</v>
      </c>
      <c r="AL258" s="23">
        <v>8259</v>
      </c>
      <c r="AM258" s="24">
        <v>0.4271703596077</v>
      </c>
      <c r="AN258" s="44" t="str">
        <f>VLOOKUP(flu_aw25[[#This Row],[trust_code]],trust_lookup[],3,0)</f>
        <v>UCLH</v>
      </c>
      <c r="AW258" s="2" t="s">
        <v>170</v>
      </c>
      <c r="AX258" s="2" t="s">
        <v>171</v>
      </c>
      <c r="AY258" s="2" t="s">
        <v>653</v>
      </c>
      <c r="AZ258" s="2">
        <v>976</v>
      </c>
      <c r="BA258" s="2">
        <v>370</v>
      </c>
      <c r="BB258" s="44" t="str">
        <f>VLOOKUP(age_group[[#This Row],[trust_code]],trust_lookup[],3,0)</f>
        <v>St George's</v>
      </c>
    </row>
    <row r="259" spans="1:54" x14ac:dyDescent="0.35">
      <c r="A259" s="2" t="s">
        <v>518</v>
      </c>
      <c r="B259" s="2" t="s">
        <v>89</v>
      </c>
      <c r="C259" s="2" t="s">
        <v>90</v>
      </c>
      <c r="D259" s="2" t="s">
        <v>193</v>
      </c>
      <c r="E259" s="2" t="s">
        <v>35</v>
      </c>
      <c r="F259" s="2">
        <v>15</v>
      </c>
      <c r="G259" s="2">
        <v>2</v>
      </c>
      <c r="H259" s="14" t="str">
        <f>VLOOKUP(flu_group[[#This Row],[trust_code]],trust_lookup[],3,0)</f>
        <v>GSTT</v>
      </c>
      <c r="I259" s="14" t="str">
        <f>VLOOKUP(flu_group[[#This Row],[trust_code]],trust_lookup[],4,0)</f>
        <v>Acute</v>
      </c>
      <c r="K259" s="2" t="s">
        <v>518</v>
      </c>
      <c r="L259" s="2" t="s">
        <v>55</v>
      </c>
      <c r="M259" s="2" t="s">
        <v>56</v>
      </c>
      <c r="N259" s="2" t="s">
        <v>192</v>
      </c>
      <c r="O259" s="2" t="s">
        <v>54</v>
      </c>
      <c r="P259" s="2">
        <v>237</v>
      </c>
      <c r="R259" s="43">
        <v>45565</v>
      </c>
      <c r="S259" s="2">
        <v>40</v>
      </c>
      <c r="T259" s="2" t="s">
        <v>519</v>
      </c>
      <c r="U259" s="2" t="s">
        <v>89</v>
      </c>
      <c r="V259" s="2" t="s">
        <v>90</v>
      </c>
      <c r="W259" s="2" t="s">
        <v>193</v>
      </c>
      <c r="X259" s="23">
        <v>265</v>
      </c>
      <c r="Y259" s="23">
        <v>309</v>
      </c>
      <c r="Z259" s="23">
        <v>17148</v>
      </c>
      <c r="AA259" s="24">
        <v>1.8019594121763401E-2</v>
      </c>
      <c r="AB259" s="14" t="str">
        <f>VLOOKUP(flu_aw24[[#This Row],[trust_code]],trust_lookup[],3,0)</f>
        <v>GSTT</v>
      </c>
      <c r="AD259" s="43">
        <v>46034</v>
      </c>
      <c r="AE259" s="2">
        <v>3</v>
      </c>
      <c r="AF259" s="2" t="s">
        <v>518</v>
      </c>
      <c r="AG259" s="2" t="s">
        <v>182</v>
      </c>
      <c r="AH259" s="2" t="s">
        <v>183</v>
      </c>
      <c r="AI259" s="2" t="s">
        <v>27</v>
      </c>
      <c r="AJ259" s="23">
        <v>31</v>
      </c>
      <c r="AK259" s="23">
        <v>3559</v>
      </c>
      <c r="AL259" s="23">
        <v>8259</v>
      </c>
      <c r="AM259" s="24">
        <v>0.43092384065867501</v>
      </c>
      <c r="AN259" s="44" t="str">
        <f>VLOOKUP(flu_aw25[[#This Row],[trust_code]],trust_lookup[],3,0)</f>
        <v>UCLH</v>
      </c>
      <c r="AW259" s="2" t="s">
        <v>170</v>
      </c>
      <c r="AX259" s="2" t="s">
        <v>171</v>
      </c>
      <c r="AY259" s="2" t="s">
        <v>654</v>
      </c>
      <c r="AZ259" s="2">
        <v>793</v>
      </c>
      <c r="BA259" s="2">
        <v>303</v>
      </c>
      <c r="BB259" s="44" t="str">
        <f>VLOOKUP(age_group[[#This Row],[trust_code]],trust_lookup[],3,0)</f>
        <v>St George's</v>
      </c>
    </row>
    <row r="260" spans="1:54" x14ac:dyDescent="0.35">
      <c r="A260" s="2" t="s">
        <v>518</v>
      </c>
      <c r="B260" s="2" t="s">
        <v>167</v>
      </c>
      <c r="C260" s="2" t="s">
        <v>168</v>
      </c>
      <c r="D260" s="2" t="s">
        <v>194</v>
      </c>
      <c r="E260" s="2" t="s">
        <v>35</v>
      </c>
      <c r="F260" s="2">
        <v>14</v>
      </c>
      <c r="G260" s="2">
        <v>3</v>
      </c>
      <c r="H260" s="14" t="str">
        <f>VLOOKUP(flu_group[[#This Row],[trust_code]],trust_lookup[],3,0)</f>
        <v>SWL&amp;StG</v>
      </c>
      <c r="I260" s="14" t="str">
        <f>VLOOKUP(flu_group[[#This Row],[trust_code]],trust_lookup[],4,0)</f>
        <v>Mental Health</v>
      </c>
      <c r="K260" s="2" t="s">
        <v>518</v>
      </c>
      <c r="L260" s="2" t="s">
        <v>55</v>
      </c>
      <c r="M260" s="2" t="s">
        <v>56</v>
      </c>
      <c r="N260" s="2" t="s">
        <v>192</v>
      </c>
      <c r="O260" s="2" t="s">
        <v>129</v>
      </c>
      <c r="P260" s="2">
        <v>12</v>
      </c>
      <c r="R260" s="43">
        <v>45572</v>
      </c>
      <c r="S260" s="2">
        <v>41</v>
      </c>
      <c r="T260" s="2" t="s">
        <v>519</v>
      </c>
      <c r="U260" s="2" t="s">
        <v>89</v>
      </c>
      <c r="V260" s="2" t="s">
        <v>90</v>
      </c>
      <c r="W260" s="2" t="s">
        <v>193</v>
      </c>
      <c r="X260" s="23">
        <v>1051</v>
      </c>
      <c r="Y260" s="23">
        <v>1360</v>
      </c>
      <c r="Z260" s="23">
        <v>17148</v>
      </c>
      <c r="AA260" s="24">
        <v>7.9309540471191903E-2</v>
      </c>
      <c r="AB260" s="14" t="str">
        <f>VLOOKUP(flu_aw24[[#This Row],[trust_code]],trust_lookup[],3,0)</f>
        <v>GSTT</v>
      </c>
      <c r="AD260" s="43">
        <v>46041</v>
      </c>
      <c r="AE260" s="2">
        <v>4</v>
      </c>
      <c r="AF260" s="2" t="s">
        <v>518</v>
      </c>
      <c r="AG260" s="2" t="s">
        <v>182</v>
      </c>
      <c r="AH260" s="2" t="s">
        <v>183</v>
      </c>
      <c r="AI260" s="2" t="s">
        <v>27</v>
      </c>
      <c r="AJ260" s="23">
        <v>26</v>
      </c>
      <c r="AK260" s="23">
        <v>3585</v>
      </c>
      <c r="AL260" s="23">
        <v>8259</v>
      </c>
      <c r="AM260" s="24">
        <v>0.43407192154013802</v>
      </c>
      <c r="AN260" s="44" t="str">
        <f>VLOOKUP(flu_aw25[[#This Row],[trust_code]],trust_lookup[],3,0)</f>
        <v>UCLH</v>
      </c>
      <c r="AW260" s="2" t="s">
        <v>170</v>
      </c>
      <c r="AX260" s="2" t="s">
        <v>171</v>
      </c>
      <c r="AY260" s="2" t="s">
        <v>655</v>
      </c>
      <c r="AZ260" s="2">
        <v>796</v>
      </c>
      <c r="BA260" s="2">
        <v>310</v>
      </c>
      <c r="BB260" s="44" t="str">
        <f>VLOOKUP(age_group[[#This Row],[trust_code]],trust_lookup[],3,0)</f>
        <v>St George's</v>
      </c>
    </row>
    <row r="261" spans="1:54" x14ac:dyDescent="0.35">
      <c r="A261" s="2" t="s">
        <v>518</v>
      </c>
      <c r="B261" s="2" t="s">
        <v>142</v>
      </c>
      <c r="C261" s="2" t="s">
        <v>143</v>
      </c>
      <c r="D261" s="2" t="s">
        <v>190</v>
      </c>
      <c r="E261" s="2" t="s">
        <v>35</v>
      </c>
      <c r="F261" s="2">
        <v>14</v>
      </c>
      <c r="G261" s="2">
        <v>5</v>
      </c>
      <c r="H261" s="14" t="str">
        <f>VLOOKUP(flu_group[[#This Row],[trust_code]],trust_lookup[],3,0)</f>
        <v>NELFT</v>
      </c>
      <c r="I261" s="14" t="str">
        <f>VLOOKUP(flu_group[[#This Row],[trust_code]],trust_lookup[],4,0)</f>
        <v>Mental Health &amp; Community</v>
      </c>
      <c r="K261" s="2" t="s">
        <v>518</v>
      </c>
      <c r="L261" s="2" t="s">
        <v>55</v>
      </c>
      <c r="M261" s="2" t="s">
        <v>56</v>
      </c>
      <c r="N261" s="2" t="s">
        <v>192</v>
      </c>
      <c r="O261" s="2" t="s">
        <v>47</v>
      </c>
      <c r="P261" s="2">
        <v>9</v>
      </c>
      <c r="R261" s="43">
        <v>45579</v>
      </c>
      <c r="S261" s="2">
        <v>42</v>
      </c>
      <c r="T261" s="2" t="s">
        <v>519</v>
      </c>
      <c r="U261" s="2" t="s">
        <v>89</v>
      </c>
      <c r="V261" s="2" t="s">
        <v>90</v>
      </c>
      <c r="W261" s="2" t="s">
        <v>193</v>
      </c>
      <c r="X261" s="23">
        <v>949</v>
      </c>
      <c r="Y261" s="23">
        <v>2309</v>
      </c>
      <c r="Z261" s="23">
        <v>17148</v>
      </c>
      <c r="AA261" s="24">
        <v>0.13465127128528101</v>
      </c>
      <c r="AB261" s="14" t="str">
        <f>VLOOKUP(flu_aw24[[#This Row],[trust_code]],trust_lookup[],3,0)</f>
        <v>GSTT</v>
      </c>
      <c r="AD261" s="43">
        <v>46048</v>
      </c>
      <c r="AE261" s="2">
        <v>5</v>
      </c>
      <c r="AF261" s="2" t="s">
        <v>518</v>
      </c>
      <c r="AG261" s="2" t="s">
        <v>182</v>
      </c>
      <c r="AH261" s="2" t="s">
        <v>183</v>
      </c>
      <c r="AI261" s="2" t="s">
        <v>27</v>
      </c>
      <c r="AJ261" s="23">
        <v>31</v>
      </c>
      <c r="AK261" s="23">
        <v>3616</v>
      </c>
      <c r="AL261" s="23">
        <v>8259</v>
      </c>
      <c r="AM261" s="24">
        <v>0.43782540259111202</v>
      </c>
      <c r="AN261" s="44" t="str">
        <f>VLOOKUP(flu_aw25[[#This Row],[trust_code]],trust_lookup[],3,0)</f>
        <v>UCLH</v>
      </c>
      <c r="AW261" s="2" t="s">
        <v>170</v>
      </c>
      <c r="AX261" s="2" t="s">
        <v>171</v>
      </c>
      <c r="AY261" s="2" t="s">
        <v>656</v>
      </c>
      <c r="AZ261" s="2">
        <v>806</v>
      </c>
      <c r="BA261" s="2">
        <v>347</v>
      </c>
      <c r="BB261" s="44" t="str">
        <f>VLOOKUP(age_group[[#This Row],[trust_code]],trust_lookup[],3,0)</f>
        <v>St George's</v>
      </c>
    </row>
    <row r="262" spans="1:54" x14ac:dyDescent="0.35">
      <c r="A262" s="2" t="s">
        <v>518</v>
      </c>
      <c r="B262" s="2" t="s">
        <v>55</v>
      </c>
      <c r="C262" s="2" t="s">
        <v>56</v>
      </c>
      <c r="D262" s="2" t="s">
        <v>192</v>
      </c>
      <c r="E262" s="2" t="s">
        <v>35</v>
      </c>
      <c r="F262" s="2">
        <v>5</v>
      </c>
      <c r="G262" s="2">
        <v>2</v>
      </c>
      <c r="H262" s="14" t="str">
        <f>VLOOKUP(flu_group[[#This Row],[trust_code]],trust_lookup[],3,0)</f>
        <v>ChelWest</v>
      </c>
      <c r="I262" s="14" t="str">
        <f>VLOOKUP(flu_group[[#This Row],[trust_code]],trust_lookup[],4,0)</f>
        <v>Acute</v>
      </c>
      <c r="K262" s="2" t="s">
        <v>518</v>
      </c>
      <c r="L262" s="2" t="s">
        <v>55</v>
      </c>
      <c r="M262" s="2" t="s">
        <v>56</v>
      </c>
      <c r="N262" s="2" t="s">
        <v>192</v>
      </c>
      <c r="O262" s="2" t="s">
        <v>94</v>
      </c>
      <c r="P262" s="2">
        <v>25</v>
      </c>
      <c r="R262" s="43">
        <v>45586</v>
      </c>
      <c r="S262" s="2">
        <v>43</v>
      </c>
      <c r="T262" s="2" t="s">
        <v>519</v>
      </c>
      <c r="U262" s="2" t="s">
        <v>89</v>
      </c>
      <c r="V262" s="2" t="s">
        <v>90</v>
      </c>
      <c r="W262" s="2" t="s">
        <v>193</v>
      </c>
      <c r="X262" s="23">
        <v>653</v>
      </c>
      <c r="Y262" s="23">
        <v>2962</v>
      </c>
      <c r="Z262" s="23">
        <v>17148</v>
      </c>
      <c r="AA262" s="24">
        <v>0.17273151387916899</v>
      </c>
      <c r="AB262" s="14" t="str">
        <f>VLOOKUP(flu_aw24[[#This Row],[trust_code]],trust_lookup[],3,0)</f>
        <v>GSTT</v>
      </c>
      <c r="AD262" s="43">
        <v>46055</v>
      </c>
      <c r="AE262" s="2">
        <v>6</v>
      </c>
      <c r="AF262" s="2" t="s">
        <v>518</v>
      </c>
      <c r="AG262" s="2" t="s">
        <v>182</v>
      </c>
      <c r="AH262" s="2" t="s">
        <v>183</v>
      </c>
      <c r="AI262" s="2" t="s">
        <v>27</v>
      </c>
      <c r="AJ262" s="23">
        <v>15</v>
      </c>
      <c r="AK262" s="23">
        <v>3631</v>
      </c>
      <c r="AL262" s="23">
        <v>8259</v>
      </c>
      <c r="AM262" s="24">
        <v>0.439641603099648</v>
      </c>
      <c r="AN262" s="44" t="str">
        <f>VLOOKUP(flu_aw25[[#This Row],[trust_code]],trust_lookup[],3,0)</f>
        <v>UCLH</v>
      </c>
      <c r="AW262" s="2" t="s">
        <v>170</v>
      </c>
      <c r="AX262" s="2" t="s">
        <v>171</v>
      </c>
      <c r="AY262" s="2" t="s">
        <v>657</v>
      </c>
      <c r="AZ262" s="2">
        <v>621</v>
      </c>
      <c r="BA262" s="2">
        <v>287</v>
      </c>
      <c r="BB262" s="44" t="str">
        <f>VLOOKUP(age_group[[#This Row],[trust_code]],trust_lookup[],3,0)</f>
        <v>St George's</v>
      </c>
    </row>
    <row r="263" spans="1:54" x14ac:dyDescent="0.35">
      <c r="A263" s="2" t="s">
        <v>518</v>
      </c>
      <c r="B263" s="2" t="s">
        <v>152</v>
      </c>
      <c r="C263" s="2" t="s">
        <v>153</v>
      </c>
      <c r="D263" s="2" t="s">
        <v>193</v>
      </c>
      <c r="E263" s="2" t="s">
        <v>35</v>
      </c>
      <c r="F263" s="2">
        <v>6</v>
      </c>
      <c r="G263" s="2">
        <v>2</v>
      </c>
      <c r="H263" s="14" t="str">
        <f>VLOOKUP(flu_group[[#This Row],[trust_code]],trust_lookup[],3,0)</f>
        <v>Oxleas</v>
      </c>
      <c r="I263" s="14" t="str">
        <f>VLOOKUP(flu_group[[#This Row],[trust_code]],trust_lookup[],4,0)</f>
        <v>Mental Health &amp; Community</v>
      </c>
      <c r="K263" s="2" t="s">
        <v>518</v>
      </c>
      <c r="L263" s="2" t="s">
        <v>55</v>
      </c>
      <c r="M263" s="2" t="s">
        <v>56</v>
      </c>
      <c r="N263" s="2" t="s">
        <v>192</v>
      </c>
      <c r="O263" s="2" t="s">
        <v>29</v>
      </c>
      <c r="P263" s="2">
        <v>35</v>
      </c>
      <c r="R263" s="43">
        <v>45593</v>
      </c>
      <c r="S263" s="2">
        <v>44</v>
      </c>
      <c r="T263" s="2" t="s">
        <v>519</v>
      </c>
      <c r="U263" s="2" t="s">
        <v>89</v>
      </c>
      <c r="V263" s="2" t="s">
        <v>90</v>
      </c>
      <c r="W263" s="2" t="s">
        <v>193</v>
      </c>
      <c r="X263" s="23">
        <v>496</v>
      </c>
      <c r="Y263" s="23">
        <v>3458</v>
      </c>
      <c r="Z263" s="23">
        <v>17148</v>
      </c>
      <c r="AA263" s="24">
        <v>0.20165616981572099</v>
      </c>
      <c r="AB263" s="14" t="str">
        <f>VLOOKUP(flu_aw24[[#This Row],[trust_code]],trust_lookup[],3,0)</f>
        <v>GSTT</v>
      </c>
      <c r="AD263" s="43">
        <v>46062</v>
      </c>
      <c r="AE263" s="2">
        <v>7</v>
      </c>
      <c r="AF263" s="2" t="s">
        <v>518</v>
      </c>
      <c r="AG263" s="2" t="s">
        <v>182</v>
      </c>
      <c r="AH263" s="2" t="s">
        <v>183</v>
      </c>
      <c r="AI263" s="2" t="s">
        <v>27</v>
      </c>
      <c r="AJ263" s="23">
        <v>11</v>
      </c>
      <c r="AK263" s="23">
        <v>3642</v>
      </c>
      <c r="AL263" s="23">
        <v>8259</v>
      </c>
      <c r="AM263" s="24">
        <v>0.44097348347257498</v>
      </c>
      <c r="AN263" s="44" t="str">
        <f>VLOOKUP(flu_aw25[[#This Row],[trust_code]],trust_lookup[],3,0)</f>
        <v>UCLH</v>
      </c>
      <c r="AW263" s="2" t="s">
        <v>170</v>
      </c>
      <c r="AX263" s="2" t="s">
        <v>171</v>
      </c>
      <c r="AY263" s="2" t="s">
        <v>658</v>
      </c>
      <c r="AZ263" s="2">
        <v>374</v>
      </c>
      <c r="BA263" s="2">
        <v>185</v>
      </c>
      <c r="BB263" s="44" t="str">
        <f>VLOOKUP(age_group[[#This Row],[trust_code]],trust_lookup[],3,0)</f>
        <v>St George's</v>
      </c>
    </row>
    <row r="264" spans="1:54" x14ac:dyDescent="0.35">
      <c r="A264" s="2" t="s">
        <v>518</v>
      </c>
      <c r="B264" s="2" t="s">
        <v>113</v>
      </c>
      <c r="C264" s="2" t="s">
        <v>114</v>
      </c>
      <c r="D264" s="2" t="s">
        <v>194</v>
      </c>
      <c r="E264" s="2" t="s">
        <v>35</v>
      </c>
      <c r="F264" s="2">
        <v>7</v>
      </c>
      <c r="G264" s="2">
        <v>2</v>
      </c>
      <c r="H264" s="14" t="str">
        <f>VLOOKUP(flu_group[[#This Row],[trust_code]],trust_lookup[],3,0)</f>
        <v>K&amp;R FT</v>
      </c>
      <c r="I264" s="14" t="str">
        <f>VLOOKUP(flu_group[[#This Row],[trust_code]],trust_lookup[],4,0)</f>
        <v>Acute &amp; Community</v>
      </c>
      <c r="K264" s="2" t="s">
        <v>518</v>
      </c>
      <c r="L264" s="2" t="s">
        <v>55</v>
      </c>
      <c r="M264" s="2" t="s">
        <v>56</v>
      </c>
      <c r="N264" s="2" t="s">
        <v>192</v>
      </c>
      <c r="O264" s="2" t="s">
        <v>123</v>
      </c>
      <c r="P264" s="2">
        <v>175</v>
      </c>
      <c r="R264" s="43">
        <v>45600</v>
      </c>
      <c r="S264" s="2">
        <v>45</v>
      </c>
      <c r="T264" s="2" t="s">
        <v>519</v>
      </c>
      <c r="U264" s="2" t="s">
        <v>89</v>
      </c>
      <c r="V264" s="2" t="s">
        <v>90</v>
      </c>
      <c r="W264" s="2" t="s">
        <v>193</v>
      </c>
      <c r="X264" s="23">
        <v>448</v>
      </c>
      <c r="Y264" s="23">
        <v>3906</v>
      </c>
      <c r="Z264" s="23">
        <v>17148</v>
      </c>
      <c r="AA264" s="24">
        <v>0.22778166550034901</v>
      </c>
      <c r="AB264" s="14" t="str">
        <f>VLOOKUP(flu_aw24[[#This Row],[trust_code]],trust_lookup[],3,0)</f>
        <v>GSTT</v>
      </c>
      <c r="AD264" s="43">
        <v>46069</v>
      </c>
      <c r="AE264" s="2">
        <v>8</v>
      </c>
      <c r="AF264" s="2" t="s">
        <v>518</v>
      </c>
      <c r="AG264" s="2" t="s">
        <v>182</v>
      </c>
      <c r="AH264" s="2" t="s">
        <v>183</v>
      </c>
      <c r="AI264" s="2" t="s">
        <v>27</v>
      </c>
      <c r="AJ264" s="23">
        <v>1</v>
      </c>
      <c r="AK264" s="23">
        <v>3643</v>
      </c>
      <c r="AL264" s="23">
        <v>8259</v>
      </c>
      <c r="AM264" s="24">
        <v>0.44109456350647702</v>
      </c>
      <c r="AN264" s="44" t="str">
        <f>VLOOKUP(flu_aw25[[#This Row],[trust_code]],trust_lookup[],3,0)</f>
        <v>UCLH</v>
      </c>
      <c r="AW264" s="2" t="s">
        <v>170</v>
      </c>
      <c r="AX264" s="2" t="s">
        <v>171</v>
      </c>
      <c r="AY264" s="2" t="s">
        <v>659</v>
      </c>
      <c r="AZ264" s="2">
        <v>216</v>
      </c>
      <c r="BA264" s="2">
        <v>119</v>
      </c>
      <c r="BB264" s="44" t="str">
        <f>VLOOKUP(age_group[[#This Row],[trust_code]],trust_lookup[],3,0)</f>
        <v>St George's</v>
      </c>
    </row>
    <row r="265" spans="1:54" x14ac:dyDescent="0.35">
      <c r="A265" s="2" t="s">
        <v>518</v>
      </c>
      <c r="B265" s="2" t="s">
        <v>136</v>
      </c>
      <c r="C265" s="2" t="s">
        <v>137</v>
      </c>
      <c r="D265" s="2" t="s">
        <v>27</v>
      </c>
      <c r="E265" s="2" t="s">
        <v>35</v>
      </c>
      <c r="F265" s="2">
        <v>10</v>
      </c>
      <c r="G265" s="2">
        <v>3</v>
      </c>
      <c r="H265" s="14" t="str">
        <f>VLOOKUP(flu_group[[#This Row],[trust_code]],trust_lookup[],3,0)</f>
        <v>Moorfields</v>
      </c>
      <c r="I265" s="14" t="str">
        <f>VLOOKUP(flu_group[[#This Row],[trust_code]],trust_lookup[],4,0)</f>
        <v>Specialist</v>
      </c>
      <c r="K265" s="2" t="s">
        <v>518</v>
      </c>
      <c r="L265" s="2" t="s">
        <v>55</v>
      </c>
      <c r="M265" s="2" t="s">
        <v>56</v>
      </c>
      <c r="N265" s="2" t="s">
        <v>192</v>
      </c>
      <c r="O265" s="2" t="s">
        <v>82</v>
      </c>
      <c r="P265" s="2">
        <v>25</v>
      </c>
      <c r="R265" s="43">
        <v>45607</v>
      </c>
      <c r="S265" s="2">
        <v>46</v>
      </c>
      <c r="T265" s="2" t="s">
        <v>519</v>
      </c>
      <c r="U265" s="2" t="s">
        <v>89</v>
      </c>
      <c r="V265" s="2" t="s">
        <v>90</v>
      </c>
      <c r="W265" s="2" t="s">
        <v>193</v>
      </c>
      <c r="X265" s="23">
        <v>356</v>
      </c>
      <c r="Y265" s="23">
        <v>4262</v>
      </c>
      <c r="Z265" s="23">
        <v>17148</v>
      </c>
      <c r="AA265" s="24">
        <v>0.24854210403545601</v>
      </c>
      <c r="AB265" s="14" t="str">
        <f>VLOOKUP(flu_aw24[[#This Row],[trust_code]],trust_lookup[],3,0)</f>
        <v>GSTT</v>
      </c>
      <c r="AD265" s="43">
        <v>46076</v>
      </c>
      <c r="AE265" s="2">
        <v>9</v>
      </c>
      <c r="AF265" s="2" t="s">
        <v>518</v>
      </c>
      <c r="AG265" s="2" t="s">
        <v>182</v>
      </c>
      <c r="AH265" s="2" t="s">
        <v>183</v>
      </c>
      <c r="AI265" s="2" t="s">
        <v>27</v>
      </c>
      <c r="AJ265" s="23">
        <v>3</v>
      </c>
      <c r="AK265" s="23">
        <v>3646</v>
      </c>
      <c r="AL265" s="23">
        <v>8259</v>
      </c>
      <c r="AM265" s="24">
        <v>0.44145780360818498</v>
      </c>
      <c r="AN265" s="44" t="str">
        <f>VLOOKUP(flu_aw25[[#This Row],[trust_code]],trust_lookup[],3,0)</f>
        <v>UCLH</v>
      </c>
      <c r="AW265" s="2" t="s">
        <v>173</v>
      </c>
      <c r="AX265" s="2" t="s">
        <v>174</v>
      </c>
      <c r="AY265" s="2" t="s">
        <v>651</v>
      </c>
      <c r="AZ265" s="2">
        <v>37</v>
      </c>
      <c r="BA265" s="2">
        <v>8</v>
      </c>
      <c r="BB265" s="44" t="str">
        <f>VLOOKUP(age_group[[#This Row],[trust_code]],trust_lookup[],3,0)</f>
        <v>T&amp;P</v>
      </c>
    </row>
    <row r="266" spans="1:54" x14ac:dyDescent="0.35">
      <c r="A266" s="2" t="s">
        <v>518</v>
      </c>
      <c r="B266" s="2" t="s">
        <v>76</v>
      </c>
      <c r="C266" s="2" t="s">
        <v>77</v>
      </c>
      <c r="D266" s="2" t="s">
        <v>194</v>
      </c>
      <c r="E266" s="2" t="s">
        <v>35</v>
      </c>
      <c r="F266" s="2">
        <v>7</v>
      </c>
      <c r="G266" s="2">
        <v>1</v>
      </c>
      <c r="H266" s="14" t="str">
        <f>VLOOKUP(flu_group[[#This Row],[trust_code]],trust_lookup[],3,0)</f>
        <v>Epsom</v>
      </c>
      <c r="I266" s="14" t="str">
        <f>VLOOKUP(flu_group[[#This Row],[trust_code]],trust_lookup[],4,0)</f>
        <v>Acute</v>
      </c>
      <c r="K266" s="2" t="s">
        <v>518</v>
      </c>
      <c r="L266" s="2" t="s">
        <v>55</v>
      </c>
      <c r="M266" s="2" t="s">
        <v>56</v>
      </c>
      <c r="N266" s="2" t="s">
        <v>192</v>
      </c>
      <c r="O266" s="2" t="s">
        <v>88</v>
      </c>
      <c r="P266" s="2">
        <v>17</v>
      </c>
      <c r="R266" s="43">
        <v>45614</v>
      </c>
      <c r="S266" s="2">
        <v>47</v>
      </c>
      <c r="T266" s="2" t="s">
        <v>519</v>
      </c>
      <c r="U266" s="2" t="s">
        <v>89</v>
      </c>
      <c r="V266" s="2" t="s">
        <v>90</v>
      </c>
      <c r="W266" s="2" t="s">
        <v>193</v>
      </c>
      <c r="X266" s="23">
        <v>262</v>
      </c>
      <c r="Y266" s="23">
        <v>4524</v>
      </c>
      <c r="Z266" s="23">
        <v>17148</v>
      </c>
      <c r="AA266" s="24">
        <v>0.26382085374387598</v>
      </c>
      <c r="AB266" s="14" t="str">
        <f>VLOOKUP(flu_aw24[[#This Row],[trust_code]],trust_lookup[],3,0)</f>
        <v>GSTT</v>
      </c>
      <c r="AD266" s="43">
        <v>45901</v>
      </c>
      <c r="AE266" s="2">
        <v>36</v>
      </c>
      <c r="AF266" s="2" t="s">
        <v>518</v>
      </c>
      <c r="AG266" s="2" t="s">
        <v>124</v>
      </c>
      <c r="AH266" s="2" t="s">
        <v>125</v>
      </c>
      <c r="AI266" s="2" t="s">
        <v>192</v>
      </c>
      <c r="AJ266" s="23">
        <v>1</v>
      </c>
      <c r="AK266" s="23">
        <v>1</v>
      </c>
      <c r="AL266" s="23">
        <v>3747</v>
      </c>
      <c r="AM266" s="24">
        <v>2.6688017080330899E-4</v>
      </c>
      <c r="AN266" s="44" t="str">
        <f>VLOOKUP(flu_aw25[[#This Row],[trust_code]],trust_lookup[],3,0)</f>
        <v>LAS</v>
      </c>
      <c r="AW266" s="2" t="s">
        <v>173</v>
      </c>
      <c r="AX266" s="2" t="s">
        <v>174</v>
      </c>
      <c r="AY266" s="2" t="s">
        <v>652</v>
      </c>
      <c r="AZ266" s="2">
        <v>88</v>
      </c>
      <c r="BA266" s="2">
        <v>36</v>
      </c>
      <c r="BB266" s="44" t="str">
        <f>VLOOKUP(age_group[[#This Row],[trust_code]],trust_lookup[],3,0)</f>
        <v>T&amp;P</v>
      </c>
    </row>
    <row r="267" spans="1:54" x14ac:dyDescent="0.35">
      <c r="A267" s="2" t="s">
        <v>518</v>
      </c>
      <c r="B267" s="2" t="s">
        <v>157</v>
      </c>
      <c r="C267" s="2" t="s">
        <v>158</v>
      </c>
      <c r="D267" s="2" t="s">
        <v>27</v>
      </c>
      <c r="E267" s="2" t="s">
        <v>35</v>
      </c>
      <c r="F267" s="2">
        <v>54</v>
      </c>
      <c r="G267" s="2">
        <v>9</v>
      </c>
      <c r="H267" s="14" t="str">
        <f>VLOOKUP(flu_group[[#This Row],[trust_code]],trust_lookup[],3,0)</f>
        <v>Royal Free</v>
      </c>
      <c r="I267" s="14" t="str">
        <f>VLOOKUP(flu_group[[#This Row],[trust_code]],trust_lookup[],4,0)</f>
        <v>Acute</v>
      </c>
      <c r="K267" s="2" t="s">
        <v>518</v>
      </c>
      <c r="L267" s="2" t="s">
        <v>55</v>
      </c>
      <c r="M267" s="2" t="s">
        <v>56</v>
      </c>
      <c r="N267" s="2" t="s">
        <v>192</v>
      </c>
      <c r="O267" s="2" t="s">
        <v>141</v>
      </c>
      <c r="P267" s="2">
        <v>299</v>
      </c>
      <c r="R267" s="43">
        <v>45621</v>
      </c>
      <c r="S267" s="2">
        <v>48</v>
      </c>
      <c r="T267" s="2" t="s">
        <v>519</v>
      </c>
      <c r="U267" s="2" t="s">
        <v>89</v>
      </c>
      <c r="V267" s="2" t="s">
        <v>90</v>
      </c>
      <c r="W267" s="2" t="s">
        <v>193</v>
      </c>
      <c r="X267" s="23">
        <v>253</v>
      </c>
      <c r="Y267" s="23">
        <v>4777</v>
      </c>
      <c r="Z267" s="23">
        <v>17148</v>
      </c>
      <c r="AA267" s="24">
        <v>0.278574760905061</v>
      </c>
      <c r="AB267" s="14" t="str">
        <f>VLOOKUP(flu_aw24[[#This Row],[trust_code]],trust_lookup[],3,0)</f>
        <v>GSTT</v>
      </c>
      <c r="AD267" s="43">
        <v>45922</v>
      </c>
      <c r="AE267" s="2">
        <v>39</v>
      </c>
      <c r="AF267" s="2" t="s">
        <v>518</v>
      </c>
      <c r="AG267" s="2" t="s">
        <v>124</v>
      </c>
      <c r="AH267" s="2" t="s">
        <v>125</v>
      </c>
      <c r="AI267" s="2" t="s">
        <v>192</v>
      </c>
      <c r="AJ267" s="23">
        <v>2</v>
      </c>
      <c r="AK267" s="23">
        <v>3</v>
      </c>
      <c r="AL267" s="23">
        <v>3747</v>
      </c>
      <c r="AM267" s="24">
        <v>8.0064051240992702E-4</v>
      </c>
      <c r="AN267" s="44" t="str">
        <f>VLOOKUP(flu_aw25[[#This Row],[trust_code]],trust_lookup[],3,0)</f>
        <v>LAS</v>
      </c>
      <c r="AW267" s="2" t="s">
        <v>173</v>
      </c>
      <c r="AX267" s="2" t="s">
        <v>174</v>
      </c>
      <c r="AY267" s="2" t="s">
        <v>653</v>
      </c>
      <c r="AZ267" s="2">
        <v>68</v>
      </c>
      <c r="BA267" s="2">
        <v>24</v>
      </c>
      <c r="BB267" s="44" t="str">
        <f>VLOOKUP(age_group[[#This Row],[trust_code]],trust_lookup[],3,0)</f>
        <v>T&amp;P</v>
      </c>
    </row>
    <row r="268" spans="1:54" x14ac:dyDescent="0.35">
      <c r="A268" s="2" t="s">
        <v>518</v>
      </c>
      <c r="B268" s="2" t="s">
        <v>101</v>
      </c>
      <c r="C268" s="2" t="s">
        <v>102</v>
      </c>
      <c r="D268" s="2" t="s">
        <v>192</v>
      </c>
      <c r="E268" s="2" t="s">
        <v>35</v>
      </c>
      <c r="F268" s="2">
        <v>8</v>
      </c>
      <c r="G268" s="2">
        <v>2</v>
      </c>
      <c r="H268" s="14" t="str">
        <f>VLOOKUP(flu_group[[#This Row],[trust_code]],trust_lookup[],3,0)</f>
        <v>Imperial</v>
      </c>
      <c r="I268" s="14" t="str">
        <f>VLOOKUP(flu_group[[#This Row],[trust_code]],trust_lookup[],4,0)</f>
        <v>Acute</v>
      </c>
      <c r="K268" s="2" t="s">
        <v>518</v>
      </c>
      <c r="L268" s="2" t="s">
        <v>55</v>
      </c>
      <c r="M268" s="2" t="s">
        <v>56</v>
      </c>
      <c r="N268" s="2" t="s">
        <v>192</v>
      </c>
      <c r="O268" s="2" t="s">
        <v>61</v>
      </c>
      <c r="P268" s="2">
        <v>19</v>
      </c>
      <c r="R268" s="43">
        <v>45628</v>
      </c>
      <c r="S268" s="2">
        <v>49</v>
      </c>
      <c r="T268" s="2" t="s">
        <v>519</v>
      </c>
      <c r="U268" s="2" t="s">
        <v>89</v>
      </c>
      <c r="V268" s="2" t="s">
        <v>90</v>
      </c>
      <c r="W268" s="2" t="s">
        <v>193</v>
      </c>
      <c r="X268" s="23">
        <v>167</v>
      </c>
      <c r="Y268" s="23">
        <v>4944</v>
      </c>
      <c r="Z268" s="23">
        <v>17148</v>
      </c>
      <c r="AA268" s="24">
        <v>0.28831350594821498</v>
      </c>
      <c r="AB268" s="14" t="str">
        <f>VLOOKUP(flu_aw24[[#This Row],[trust_code]],trust_lookup[],3,0)</f>
        <v>GSTT</v>
      </c>
      <c r="AD268" s="43">
        <v>45929</v>
      </c>
      <c r="AE268" s="2">
        <v>40</v>
      </c>
      <c r="AF268" s="2" t="s">
        <v>518</v>
      </c>
      <c r="AG268" s="2" t="s">
        <v>124</v>
      </c>
      <c r="AH268" s="2" t="s">
        <v>125</v>
      </c>
      <c r="AI268" s="2" t="s">
        <v>192</v>
      </c>
      <c r="AJ268" s="23">
        <v>58</v>
      </c>
      <c r="AK268" s="23">
        <v>61</v>
      </c>
      <c r="AL268" s="23">
        <v>3747</v>
      </c>
      <c r="AM268" s="24">
        <v>1.6279690419001801E-2</v>
      </c>
      <c r="AN268" s="44" t="str">
        <f>VLOOKUP(flu_aw25[[#This Row],[trust_code]],trust_lookup[],3,0)</f>
        <v>LAS</v>
      </c>
      <c r="AW268" s="2" t="s">
        <v>173</v>
      </c>
      <c r="AX268" s="2" t="s">
        <v>174</v>
      </c>
      <c r="AY268" s="2" t="s">
        <v>654</v>
      </c>
      <c r="AZ268" s="2">
        <v>69</v>
      </c>
      <c r="BA268" s="2">
        <v>32</v>
      </c>
      <c r="BB268" s="44" t="str">
        <f>VLOOKUP(age_group[[#This Row],[trust_code]],trust_lookup[],3,0)</f>
        <v>T&amp;P</v>
      </c>
    </row>
    <row r="269" spans="1:54" x14ac:dyDescent="0.35">
      <c r="A269" s="2" t="s">
        <v>519</v>
      </c>
      <c r="B269" s="2" t="s">
        <v>83</v>
      </c>
      <c r="C269" s="2" t="s">
        <v>84</v>
      </c>
      <c r="D269" s="2" t="s">
        <v>27</v>
      </c>
      <c r="E269" s="2" t="s">
        <v>67</v>
      </c>
      <c r="F269" s="2">
        <v>331</v>
      </c>
      <c r="G269" s="2">
        <v>168</v>
      </c>
      <c r="H269" s="14" t="str">
        <f>VLOOKUP(flu_group[[#This Row],[trust_code]],trust_lookup[],3,0)</f>
        <v>GOSH</v>
      </c>
      <c r="I269" s="14" t="str">
        <f>VLOOKUP(flu_group[[#This Row],[trust_code]],trust_lookup[],4,0)</f>
        <v>Specialist</v>
      </c>
      <c r="K269" s="2" t="s">
        <v>518</v>
      </c>
      <c r="L269" s="2" t="s">
        <v>55</v>
      </c>
      <c r="M269" s="2" t="s">
        <v>56</v>
      </c>
      <c r="N269" s="2" t="s">
        <v>192</v>
      </c>
      <c r="O269" s="2" t="s">
        <v>100</v>
      </c>
      <c r="P269" s="2">
        <v>138</v>
      </c>
      <c r="R269" s="43">
        <v>45635</v>
      </c>
      <c r="S269" s="2">
        <v>50</v>
      </c>
      <c r="T269" s="2" t="s">
        <v>519</v>
      </c>
      <c r="U269" s="2" t="s">
        <v>89</v>
      </c>
      <c r="V269" s="2" t="s">
        <v>90</v>
      </c>
      <c r="W269" s="2" t="s">
        <v>193</v>
      </c>
      <c r="X269" s="23">
        <v>270</v>
      </c>
      <c r="Y269" s="23">
        <v>5214</v>
      </c>
      <c r="Z269" s="23">
        <v>17148</v>
      </c>
      <c r="AA269" s="24">
        <v>0.30405878236528999</v>
      </c>
      <c r="AB269" s="14" t="str">
        <f>VLOOKUP(flu_aw24[[#This Row],[trust_code]],trust_lookup[],3,0)</f>
        <v>GSTT</v>
      </c>
      <c r="AD269" s="43">
        <v>45936</v>
      </c>
      <c r="AE269" s="2">
        <v>41</v>
      </c>
      <c r="AF269" s="2" t="s">
        <v>518</v>
      </c>
      <c r="AG269" s="2" t="s">
        <v>124</v>
      </c>
      <c r="AH269" s="2" t="s">
        <v>125</v>
      </c>
      <c r="AI269" s="2" t="s">
        <v>192</v>
      </c>
      <c r="AJ269" s="23">
        <v>297</v>
      </c>
      <c r="AK269" s="23">
        <v>358</v>
      </c>
      <c r="AL269" s="23">
        <v>3747</v>
      </c>
      <c r="AM269" s="24">
        <v>9.55431011475847E-2</v>
      </c>
      <c r="AN269" s="44" t="str">
        <f>VLOOKUP(flu_aw25[[#This Row],[trust_code]],trust_lookup[],3,0)</f>
        <v>LAS</v>
      </c>
      <c r="AW269" s="2" t="s">
        <v>173</v>
      </c>
      <c r="AX269" s="2" t="s">
        <v>174</v>
      </c>
      <c r="AY269" s="2" t="s">
        <v>655</v>
      </c>
      <c r="AZ269" s="2">
        <v>64</v>
      </c>
      <c r="BA269" s="2">
        <v>26</v>
      </c>
      <c r="BB269" s="44" t="str">
        <f>VLOOKUP(age_group[[#This Row],[trust_code]],trust_lookup[],3,0)</f>
        <v>T&amp;P</v>
      </c>
    </row>
    <row r="270" spans="1:54" x14ac:dyDescent="0.35">
      <c r="A270" s="2" t="s">
        <v>519</v>
      </c>
      <c r="B270" s="2" t="s">
        <v>83</v>
      </c>
      <c r="C270" s="2" t="s">
        <v>84</v>
      </c>
      <c r="D270" s="2" t="s">
        <v>27</v>
      </c>
      <c r="E270" s="2" t="s">
        <v>81</v>
      </c>
      <c r="F270" s="2">
        <v>472</v>
      </c>
      <c r="G270" s="2">
        <v>161</v>
      </c>
      <c r="H270" s="14" t="str">
        <f>VLOOKUP(flu_group[[#This Row],[trust_code]],trust_lookup[],3,0)</f>
        <v>GOSH</v>
      </c>
      <c r="I270" s="14" t="str">
        <f>VLOOKUP(flu_group[[#This Row],[trust_code]],trust_lookup[],4,0)</f>
        <v>Specialist</v>
      </c>
      <c r="K270" s="2" t="s">
        <v>518</v>
      </c>
      <c r="L270" s="2" t="s">
        <v>55</v>
      </c>
      <c r="M270" s="2" t="s">
        <v>56</v>
      </c>
      <c r="N270" s="2" t="s">
        <v>192</v>
      </c>
      <c r="O270" s="2" t="s">
        <v>75</v>
      </c>
      <c r="P270" s="2">
        <v>37</v>
      </c>
      <c r="R270" s="43">
        <v>45642</v>
      </c>
      <c r="S270" s="2">
        <v>51</v>
      </c>
      <c r="T270" s="2" t="s">
        <v>519</v>
      </c>
      <c r="U270" s="2" t="s">
        <v>89</v>
      </c>
      <c r="V270" s="2" t="s">
        <v>90</v>
      </c>
      <c r="W270" s="2" t="s">
        <v>193</v>
      </c>
      <c r="X270" s="23">
        <v>174</v>
      </c>
      <c r="Y270" s="23">
        <v>5388</v>
      </c>
      <c r="Z270" s="23">
        <v>17148</v>
      </c>
      <c r="AA270" s="24">
        <v>0.314205738278516</v>
      </c>
      <c r="AB270" s="14" t="str">
        <f>VLOOKUP(flu_aw24[[#This Row],[trust_code]],trust_lookup[],3,0)</f>
        <v>GSTT</v>
      </c>
      <c r="AD270" s="43">
        <v>45943</v>
      </c>
      <c r="AE270" s="2">
        <v>42</v>
      </c>
      <c r="AF270" s="2" t="s">
        <v>518</v>
      </c>
      <c r="AG270" s="2" t="s">
        <v>124</v>
      </c>
      <c r="AH270" s="2" t="s">
        <v>125</v>
      </c>
      <c r="AI270" s="2" t="s">
        <v>192</v>
      </c>
      <c r="AJ270" s="23">
        <v>331</v>
      </c>
      <c r="AK270" s="23">
        <v>689</v>
      </c>
      <c r="AL270" s="23">
        <v>3747</v>
      </c>
      <c r="AM270" s="24">
        <v>0.18388043768348</v>
      </c>
      <c r="AN270" s="44" t="str">
        <f>VLOOKUP(flu_aw25[[#This Row],[trust_code]],trust_lookup[],3,0)</f>
        <v>LAS</v>
      </c>
      <c r="AW270" s="2" t="s">
        <v>173</v>
      </c>
      <c r="AX270" s="2" t="s">
        <v>174</v>
      </c>
      <c r="AY270" s="2" t="s">
        <v>656</v>
      </c>
      <c r="AZ270" s="2">
        <v>63</v>
      </c>
      <c r="BA270" s="2">
        <v>22</v>
      </c>
      <c r="BB270" s="44" t="str">
        <f>VLOOKUP(age_group[[#This Row],[trust_code]],trust_lookup[],3,0)</f>
        <v>T&amp;P</v>
      </c>
    </row>
    <row r="271" spans="1:54" x14ac:dyDescent="0.35">
      <c r="A271" s="2" t="s">
        <v>519</v>
      </c>
      <c r="B271" s="2" t="s">
        <v>83</v>
      </c>
      <c r="C271" s="2" t="s">
        <v>84</v>
      </c>
      <c r="D271" s="2" t="s">
        <v>27</v>
      </c>
      <c r="E271" s="2" t="s">
        <v>46</v>
      </c>
      <c r="F271" s="2">
        <v>2</v>
      </c>
      <c r="G271" s="2">
        <v>1</v>
      </c>
      <c r="H271" s="14" t="str">
        <f>VLOOKUP(flu_group[[#This Row],[trust_code]],trust_lookup[],3,0)</f>
        <v>GOSH</v>
      </c>
      <c r="I271" s="14" t="str">
        <f>VLOOKUP(flu_group[[#This Row],[trust_code]],trust_lookup[],4,0)</f>
        <v>Specialist</v>
      </c>
      <c r="K271" s="2" t="s">
        <v>518</v>
      </c>
      <c r="L271" s="2" t="s">
        <v>55</v>
      </c>
      <c r="M271" s="2" t="s">
        <v>56</v>
      </c>
      <c r="N271" s="2" t="s">
        <v>192</v>
      </c>
      <c r="O271" s="2" t="s">
        <v>106</v>
      </c>
      <c r="P271" s="2">
        <v>32</v>
      </c>
      <c r="R271" s="43">
        <v>45649</v>
      </c>
      <c r="S271" s="2">
        <v>52</v>
      </c>
      <c r="T271" s="2" t="s">
        <v>519</v>
      </c>
      <c r="U271" s="2" t="s">
        <v>89</v>
      </c>
      <c r="V271" s="2" t="s">
        <v>90</v>
      </c>
      <c r="W271" s="2" t="s">
        <v>193</v>
      </c>
      <c r="X271" s="23">
        <v>30</v>
      </c>
      <c r="Y271" s="23">
        <v>5418</v>
      </c>
      <c r="Z271" s="23">
        <v>17148</v>
      </c>
      <c r="AA271" s="24">
        <v>0.315955213435969</v>
      </c>
      <c r="AB271" s="14" t="str">
        <f>VLOOKUP(flu_aw24[[#This Row],[trust_code]],trust_lookup[],3,0)</f>
        <v>GSTT</v>
      </c>
      <c r="AD271" s="43">
        <v>45950</v>
      </c>
      <c r="AE271" s="2">
        <v>43</v>
      </c>
      <c r="AF271" s="2" t="s">
        <v>518</v>
      </c>
      <c r="AG271" s="2" t="s">
        <v>124</v>
      </c>
      <c r="AH271" s="2" t="s">
        <v>125</v>
      </c>
      <c r="AI271" s="2" t="s">
        <v>192</v>
      </c>
      <c r="AJ271" s="23">
        <v>241</v>
      </c>
      <c r="AK271" s="23">
        <v>930</v>
      </c>
      <c r="AL271" s="23">
        <v>3747</v>
      </c>
      <c r="AM271" s="24">
        <v>0.24819855884707701</v>
      </c>
      <c r="AN271" s="44" t="str">
        <f>VLOOKUP(flu_aw25[[#This Row],[trust_code]],trust_lookup[],3,0)</f>
        <v>LAS</v>
      </c>
      <c r="AW271" s="2" t="s">
        <v>173</v>
      </c>
      <c r="AX271" s="2" t="s">
        <v>174</v>
      </c>
      <c r="AY271" s="2" t="s">
        <v>657</v>
      </c>
      <c r="AZ271" s="2">
        <v>60</v>
      </c>
      <c r="BA271" s="2">
        <v>22</v>
      </c>
      <c r="BB271" s="44" t="str">
        <f>VLOOKUP(age_group[[#This Row],[trust_code]],trust_lookup[],3,0)</f>
        <v>T&amp;P</v>
      </c>
    </row>
    <row r="272" spans="1:54" x14ac:dyDescent="0.35">
      <c r="A272" s="2" t="s">
        <v>519</v>
      </c>
      <c r="B272" s="2" t="s">
        <v>83</v>
      </c>
      <c r="C272" s="2" t="s">
        <v>84</v>
      </c>
      <c r="D272" s="2" t="s">
        <v>27</v>
      </c>
      <c r="E272" s="2" t="s">
        <v>60</v>
      </c>
      <c r="F272" s="2">
        <v>266</v>
      </c>
      <c r="G272" s="2">
        <v>129</v>
      </c>
      <c r="H272" s="14" t="str">
        <f>VLOOKUP(flu_group[[#This Row],[trust_code]],trust_lookup[],3,0)</f>
        <v>GOSH</v>
      </c>
      <c r="I272" s="14" t="str">
        <f>VLOOKUP(flu_group[[#This Row],[trust_code]],trust_lookup[],4,0)</f>
        <v>Specialist</v>
      </c>
      <c r="K272" s="2" t="s">
        <v>518</v>
      </c>
      <c r="L272" s="2" t="s">
        <v>55</v>
      </c>
      <c r="M272" s="2" t="s">
        <v>56</v>
      </c>
      <c r="N272" s="2" t="s">
        <v>192</v>
      </c>
      <c r="O272" s="2" t="s">
        <v>112</v>
      </c>
      <c r="P272" s="2">
        <v>191</v>
      </c>
      <c r="R272" s="43">
        <v>45656</v>
      </c>
      <c r="S272" s="2">
        <v>1</v>
      </c>
      <c r="T272" s="2" t="s">
        <v>519</v>
      </c>
      <c r="U272" s="2" t="s">
        <v>89</v>
      </c>
      <c r="V272" s="2" t="s">
        <v>90</v>
      </c>
      <c r="W272" s="2" t="s">
        <v>193</v>
      </c>
      <c r="X272" s="23">
        <v>60</v>
      </c>
      <c r="Y272" s="23">
        <v>5478</v>
      </c>
      <c r="Z272" s="23">
        <v>17148</v>
      </c>
      <c r="AA272" s="24">
        <v>0.31945416375087399</v>
      </c>
      <c r="AB272" s="14" t="str">
        <f>VLOOKUP(flu_aw24[[#This Row],[trust_code]],trust_lookup[],3,0)</f>
        <v>GSTT</v>
      </c>
      <c r="AD272" s="43">
        <v>45957</v>
      </c>
      <c r="AE272" s="2">
        <v>44</v>
      </c>
      <c r="AF272" s="2" t="s">
        <v>518</v>
      </c>
      <c r="AG272" s="2" t="s">
        <v>124</v>
      </c>
      <c r="AH272" s="2" t="s">
        <v>125</v>
      </c>
      <c r="AI272" s="2" t="s">
        <v>192</v>
      </c>
      <c r="AJ272" s="23">
        <v>182</v>
      </c>
      <c r="AK272" s="23">
        <v>1112</v>
      </c>
      <c r="AL272" s="23">
        <v>3747</v>
      </c>
      <c r="AM272" s="24">
        <v>0.29677074993327901</v>
      </c>
      <c r="AN272" s="44" t="str">
        <f>VLOOKUP(flu_aw25[[#This Row],[trust_code]],trust_lookup[],3,0)</f>
        <v>LAS</v>
      </c>
      <c r="AW272" s="2" t="s">
        <v>173</v>
      </c>
      <c r="AX272" s="2" t="s">
        <v>174</v>
      </c>
      <c r="AY272" s="2" t="s">
        <v>658</v>
      </c>
      <c r="AZ272" s="2">
        <v>52</v>
      </c>
      <c r="BA272" s="2">
        <v>21</v>
      </c>
      <c r="BB272" s="44" t="str">
        <f>VLOOKUP(age_group[[#This Row],[trust_code]],trust_lookup[],3,0)</f>
        <v>T&amp;P</v>
      </c>
    </row>
    <row r="273" spans="1:54" x14ac:dyDescent="0.35">
      <c r="A273" s="2" t="s">
        <v>519</v>
      </c>
      <c r="B273" s="2" t="s">
        <v>83</v>
      </c>
      <c r="C273" s="2" t="s">
        <v>84</v>
      </c>
      <c r="D273" s="2" t="s">
        <v>27</v>
      </c>
      <c r="E273" s="2" t="s">
        <v>28</v>
      </c>
      <c r="F273" s="2">
        <v>372</v>
      </c>
      <c r="G273" s="2">
        <v>96</v>
      </c>
      <c r="H273" s="14" t="str">
        <f>VLOOKUP(flu_group[[#This Row],[trust_code]],trust_lookup[],3,0)</f>
        <v>GOSH</v>
      </c>
      <c r="I273" s="14" t="str">
        <f>VLOOKUP(flu_group[[#This Row],[trust_code]],trust_lookup[],4,0)</f>
        <v>Specialist</v>
      </c>
      <c r="K273" s="2" t="s">
        <v>518</v>
      </c>
      <c r="L273" s="2" t="s">
        <v>55</v>
      </c>
      <c r="M273" s="2" t="s">
        <v>56</v>
      </c>
      <c r="N273" s="2" t="s">
        <v>192</v>
      </c>
      <c r="O273" s="2" t="s">
        <v>36</v>
      </c>
      <c r="P273" s="2">
        <v>168</v>
      </c>
      <c r="R273" s="43">
        <v>45663</v>
      </c>
      <c r="S273" s="2">
        <v>2</v>
      </c>
      <c r="T273" s="2" t="s">
        <v>519</v>
      </c>
      <c r="U273" s="2" t="s">
        <v>89</v>
      </c>
      <c r="V273" s="2" t="s">
        <v>90</v>
      </c>
      <c r="W273" s="2" t="s">
        <v>193</v>
      </c>
      <c r="X273" s="23">
        <v>161</v>
      </c>
      <c r="Y273" s="23">
        <v>5639</v>
      </c>
      <c r="Z273" s="23">
        <v>17148</v>
      </c>
      <c r="AA273" s="24">
        <v>0.328843013762537</v>
      </c>
      <c r="AB273" s="14" t="str">
        <f>VLOOKUP(flu_aw24[[#This Row],[trust_code]],trust_lookup[],3,0)</f>
        <v>GSTT</v>
      </c>
      <c r="AD273" s="43">
        <v>45964</v>
      </c>
      <c r="AE273" s="2">
        <v>45</v>
      </c>
      <c r="AF273" s="2" t="s">
        <v>518</v>
      </c>
      <c r="AG273" s="2" t="s">
        <v>124</v>
      </c>
      <c r="AH273" s="2" t="s">
        <v>125</v>
      </c>
      <c r="AI273" s="2" t="s">
        <v>192</v>
      </c>
      <c r="AJ273" s="23">
        <v>153</v>
      </c>
      <c r="AK273" s="23">
        <v>1265</v>
      </c>
      <c r="AL273" s="23">
        <v>3747</v>
      </c>
      <c r="AM273" s="24">
        <v>0.33760341606618599</v>
      </c>
      <c r="AN273" s="44" t="str">
        <f>VLOOKUP(flu_aw25[[#This Row],[trust_code]],trust_lookup[],3,0)</f>
        <v>LAS</v>
      </c>
      <c r="AW273" s="2" t="s">
        <v>173</v>
      </c>
      <c r="AX273" s="2" t="s">
        <v>174</v>
      </c>
      <c r="AY273" s="2" t="s">
        <v>659</v>
      </c>
      <c r="AZ273" s="2">
        <v>67</v>
      </c>
      <c r="BA273" s="2">
        <v>57</v>
      </c>
      <c r="BB273" s="44" t="str">
        <f>VLOOKUP(age_group[[#This Row],[trust_code]],trust_lookup[],3,0)</f>
        <v>T&amp;P</v>
      </c>
    </row>
    <row r="274" spans="1:54" x14ac:dyDescent="0.35">
      <c r="A274" s="2" t="s">
        <v>519</v>
      </c>
      <c r="B274" s="2" t="s">
        <v>83</v>
      </c>
      <c r="C274" s="2" t="s">
        <v>84</v>
      </c>
      <c r="D274" s="2" t="s">
        <v>27</v>
      </c>
      <c r="E274" s="2" t="s">
        <v>74</v>
      </c>
      <c r="F274" s="2">
        <v>173</v>
      </c>
      <c r="G274" s="2">
        <v>101</v>
      </c>
      <c r="H274" s="14" t="str">
        <f>VLOOKUP(flu_group[[#This Row],[trust_code]],trust_lookup[],3,0)</f>
        <v>GOSH</v>
      </c>
      <c r="I274" s="14" t="str">
        <f>VLOOKUP(flu_group[[#This Row],[trust_code]],trust_lookup[],4,0)</f>
        <v>Specialist</v>
      </c>
      <c r="K274" s="2" t="s">
        <v>518</v>
      </c>
      <c r="L274" s="2" t="s">
        <v>101</v>
      </c>
      <c r="M274" s="2" t="s">
        <v>102</v>
      </c>
      <c r="N274" s="2" t="s">
        <v>192</v>
      </c>
      <c r="O274" s="2" t="s">
        <v>68</v>
      </c>
      <c r="P274" s="2">
        <v>1171</v>
      </c>
      <c r="R274" s="43">
        <v>45670</v>
      </c>
      <c r="S274" s="2">
        <v>3</v>
      </c>
      <c r="T274" s="2" t="s">
        <v>519</v>
      </c>
      <c r="U274" s="2" t="s">
        <v>89</v>
      </c>
      <c r="V274" s="2" t="s">
        <v>90</v>
      </c>
      <c r="W274" s="2" t="s">
        <v>193</v>
      </c>
      <c r="X274" s="23">
        <v>101</v>
      </c>
      <c r="Y274" s="23">
        <v>5740</v>
      </c>
      <c r="Z274" s="23">
        <v>17148</v>
      </c>
      <c r="AA274" s="24">
        <v>0.33473291345929501</v>
      </c>
      <c r="AB274" s="14" t="str">
        <f>VLOOKUP(flu_aw24[[#This Row],[trust_code]],trust_lookup[],3,0)</f>
        <v>GSTT</v>
      </c>
      <c r="AD274" s="43">
        <v>45971</v>
      </c>
      <c r="AE274" s="2">
        <v>46</v>
      </c>
      <c r="AF274" s="2" t="s">
        <v>518</v>
      </c>
      <c r="AG274" s="2" t="s">
        <v>124</v>
      </c>
      <c r="AH274" s="2" t="s">
        <v>125</v>
      </c>
      <c r="AI274" s="2" t="s">
        <v>192</v>
      </c>
      <c r="AJ274" s="23">
        <v>154</v>
      </c>
      <c r="AK274" s="23">
        <v>1419</v>
      </c>
      <c r="AL274" s="23">
        <v>3747</v>
      </c>
      <c r="AM274" s="24">
        <v>0.37870296236989498</v>
      </c>
      <c r="AN274" s="44" t="str">
        <f>VLOOKUP(flu_aw25[[#This Row],[trust_code]],trust_lookup[],3,0)</f>
        <v>LAS</v>
      </c>
      <c r="AW274" s="2" t="s">
        <v>176</v>
      </c>
      <c r="AX274" s="2" t="s">
        <v>177</v>
      </c>
      <c r="AY274" s="2" t="s">
        <v>650</v>
      </c>
      <c r="AZ274" s="2">
        <v>96</v>
      </c>
      <c r="BA274" s="2">
        <v>23</v>
      </c>
      <c r="BB274" s="44" t="str">
        <f>VLOOKUP(age_group[[#This Row],[trust_code]],trust_lookup[],3,0)</f>
        <v>Hillingdon</v>
      </c>
    </row>
    <row r="275" spans="1:54" x14ac:dyDescent="0.35">
      <c r="A275" s="2" t="s">
        <v>519</v>
      </c>
      <c r="B275" s="2" t="s">
        <v>83</v>
      </c>
      <c r="C275" s="2" t="s">
        <v>84</v>
      </c>
      <c r="D275" s="2" t="s">
        <v>27</v>
      </c>
      <c r="E275" s="2" t="s">
        <v>42</v>
      </c>
      <c r="F275" s="2">
        <v>937</v>
      </c>
      <c r="G275" s="2">
        <v>484</v>
      </c>
      <c r="H275" s="14" t="str">
        <f>VLOOKUP(flu_group[[#This Row],[trust_code]],trust_lookup[],3,0)</f>
        <v>GOSH</v>
      </c>
      <c r="I275" s="14" t="str">
        <f>VLOOKUP(flu_group[[#This Row],[trust_code]],trust_lookup[],4,0)</f>
        <v>Specialist</v>
      </c>
      <c r="K275" s="2" t="s">
        <v>518</v>
      </c>
      <c r="L275" s="2" t="s">
        <v>101</v>
      </c>
      <c r="M275" s="2" t="s">
        <v>102</v>
      </c>
      <c r="N275" s="2" t="s">
        <v>192</v>
      </c>
      <c r="O275" s="2" t="s">
        <v>135</v>
      </c>
      <c r="P275" s="2">
        <v>79</v>
      </c>
      <c r="R275" s="43">
        <v>45677</v>
      </c>
      <c r="S275" s="2">
        <v>4</v>
      </c>
      <c r="T275" s="2" t="s">
        <v>519</v>
      </c>
      <c r="U275" s="2" t="s">
        <v>89</v>
      </c>
      <c r="V275" s="2" t="s">
        <v>90</v>
      </c>
      <c r="W275" s="2" t="s">
        <v>193</v>
      </c>
      <c r="X275" s="23">
        <v>61</v>
      </c>
      <c r="Y275" s="23">
        <v>5801</v>
      </c>
      <c r="Z275" s="23">
        <v>17148</v>
      </c>
      <c r="AA275" s="24">
        <v>0.33829017961278202</v>
      </c>
      <c r="AB275" s="14" t="str">
        <f>VLOOKUP(flu_aw24[[#This Row],[trust_code]],trust_lookup[],3,0)</f>
        <v>GSTT</v>
      </c>
      <c r="AD275" s="43">
        <v>45978</v>
      </c>
      <c r="AE275" s="2">
        <v>47</v>
      </c>
      <c r="AF275" s="2" t="s">
        <v>518</v>
      </c>
      <c r="AG275" s="2" t="s">
        <v>124</v>
      </c>
      <c r="AH275" s="2" t="s">
        <v>125</v>
      </c>
      <c r="AI275" s="2" t="s">
        <v>192</v>
      </c>
      <c r="AJ275" s="23">
        <v>98</v>
      </c>
      <c r="AK275" s="23">
        <v>1517</v>
      </c>
      <c r="AL275" s="23">
        <v>3747</v>
      </c>
      <c r="AM275" s="24">
        <v>0.40485721910861999</v>
      </c>
      <c r="AN275" s="44" t="str">
        <f>VLOOKUP(flu_aw25[[#This Row],[trust_code]],trust_lookup[],3,0)</f>
        <v>LAS</v>
      </c>
      <c r="AW275" s="2" t="s">
        <v>176</v>
      </c>
      <c r="AX275" s="2" t="s">
        <v>177</v>
      </c>
      <c r="AY275" s="2" t="s">
        <v>651</v>
      </c>
      <c r="AZ275" s="2">
        <v>315</v>
      </c>
      <c r="BA275" s="2">
        <v>89</v>
      </c>
      <c r="BB275" s="44" t="str">
        <f>VLOOKUP(age_group[[#This Row],[trust_code]],trust_lookup[],3,0)</f>
        <v>Hillingdon</v>
      </c>
    </row>
    <row r="276" spans="1:54" x14ac:dyDescent="0.35">
      <c r="A276" s="2" t="s">
        <v>519</v>
      </c>
      <c r="B276" s="2" t="s">
        <v>83</v>
      </c>
      <c r="C276" s="2" t="s">
        <v>84</v>
      </c>
      <c r="D276" s="2" t="s">
        <v>27</v>
      </c>
      <c r="E276" s="2" t="s">
        <v>53</v>
      </c>
      <c r="F276" s="2">
        <v>1403</v>
      </c>
      <c r="G276" s="2">
        <v>636</v>
      </c>
      <c r="H276" s="14" t="str">
        <f>VLOOKUP(flu_group[[#This Row],[trust_code]],trust_lookup[],3,0)</f>
        <v>GOSH</v>
      </c>
      <c r="I276" s="14" t="str">
        <f>VLOOKUP(flu_group[[#This Row],[trust_code]],trust_lookup[],4,0)</f>
        <v>Specialist</v>
      </c>
      <c r="K276" s="2" t="s">
        <v>518</v>
      </c>
      <c r="L276" s="2" t="s">
        <v>101</v>
      </c>
      <c r="M276" s="2" t="s">
        <v>102</v>
      </c>
      <c r="N276" s="2" t="s">
        <v>192</v>
      </c>
      <c r="O276" s="2" t="s">
        <v>54</v>
      </c>
      <c r="P276" s="2">
        <v>507</v>
      </c>
      <c r="R276" s="43">
        <v>45684</v>
      </c>
      <c r="S276" s="2">
        <v>5</v>
      </c>
      <c r="T276" s="2" t="s">
        <v>519</v>
      </c>
      <c r="U276" s="2" t="s">
        <v>89</v>
      </c>
      <c r="V276" s="2" t="s">
        <v>90</v>
      </c>
      <c r="W276" s="2" t="s">
        <v>193</v>
      </c>
      <c r="X276" s="23">
        <v>57</v>
      </c>
      <c r="Y276" s="23">
        <v>5858</v>
      </c>
      <c r="Z276" s="23">
        <v>17148</v>
      </c>
      <c r="AA276" s="24">
        <v>0.34161418241194302</v>
      </c>
      <c r="AB276" s="14" t="str">
        <f>VLOOKUP(flu_aw24[[#This Row],[trust_code]],trust_lookup[],3,0)</f>
        <v>GSTT</v>
      </c>
      <c r="AD276" s="43">
        <v>45985</v>
      </c>
      <c r="AE276" s="2">
        <v>48</v>
      </c>
      <c r="AF276" s="2" t="s">
        <v>518</v>
      </c>
      <c r="AG276" s="2" t="s">
        <v>124</v>
      </c>
      <c r="AH276" s="2" t="s">
        <v>125</v>
      </c>
      <c r="AI276" s="2" t="s">
        <v>192</v>
      </c>
      <c r="AJ276" s="23">
        <v>102</v>
      </c>
      <c r="AK276" s="23">
        <v>1619</v>
      </c>
      <c r="AL276" s="23">
        <v>3747</v>
      </c>
      <c r="AM276" s="24">
        <v>0.43207899653055698</v>
      </c>
      <c r="AN276" s="44" t="str">
        <f>VLOOKUP(flu_aw25[[#This Row],[trust_code]],trust_lookup[],3,0)</f>
        <v>LAS</v>
      </c>
      <c r="AW276" s="2" t="s">
        <v>176</v>
      </c>
      <c r="AX276" s="2" t="s">
        <v>177</v>
      </c>
      <c r="AY276" s="2" t="s">
        <v>652</v>
      </c>
      <c r="AZ276" s="2">
        <v>359</v>
      </c>
      <c r="BA276" s="2">
        <v>96</v>
      </c>
      <c r="BB276" s="44" t="str">
        <f>VLOOKUP(age_group[[#This Row],[trust_code]],trust_lookup[],3,0)</f>
        <v>Hillingdon</v>
      </c>
    </row>
    <row r="277" spans="1:54" x14ac:dyDescent="0.35">
      <c r="A277" s="2" t="s">
        <v>519</v>
      </c>
      <c r="B277" s="2" t="s">
        <v>136</v>
      </c>
      <c r="C277" s="2" t="s">
        <v>137</v>
      </c>
      <c r="D277" s="2" t="s">
        <v>27</v>
      </c>
      <c r="E277" s="2" t="s">
        <v>67</v>
      </c>
      <c r="F277" s="2">
        <v>236</v>
      </c>
      <c r="G277" s="2">
        <v>97</v>
      </c>
      <c r="H277" s="14" t="str">
        <f>VLOOKUP(flu_group[[#This Row],[trust_code]],trust_lookup[],3,0)</f>
        <v>Moorfields</v>
      </c>
      <c r="I277" s="14" t="str">
        <f>VLOOKUP(flu_group[[#This Row],[trust_code]],trust_lookup[],4,0)</f>
        <v>Specialist</v>
      </c>
      <c r="K277" s="2" t="s">
        <v>518</v>
      </c>
      <c r="L277" s="2" t="s">
        <v>101</v>
      </c>
      <c r="M277" s="2" t="s">
        <v>102</v>
      </c>
      <c r="N277" s="2" t="s">
        <v>192</v>
      </c>
      <c r="O277" s="2" t="s">
        <v>129</v>
      </c>
      <c r="P277" s="2">
        <v>15</v>
      </c>
      <c r="R277" s="43">
        <v>45691</v>
      </c>
      <c r="S277" s="2">
        <v>6</v>
      </c>
      <c r="T277" s="2" t="s">
        <v>519</v>
      </c>
      <c r="U277" s="2" t="s">
        <v>89</v>
      </c>
      <c r="V277" s="2" t="s">
        <v>90</v>
      </c>
      <c r="W277" s="2" t="s">
        <v>193</v>
      </c>
      <c r="X277" s="23">
        <v>18</v>
      </c>
      <c r="Y277" s="23">
        <v>5876</v>
      </c>
      <c r="Z277" s="23">
        <v>17148</v>
      </c>
      <c r="AA277" s="24">
        <v>0.34266386750641398</v>
      </c>
      <c r="AB277" s="14" t="str">
        <f>VLOOKUP(flu_aw24[[#This Row],[trust_code]],trust_lookup[],3,0)</f>
        <v>GSTT</v>
      </c>
      <c r="AD277" s="43">
        <v>45992</v>
      </c>
      <c r="AE277" s="2">
        <v>49</v>
      </c>
      <c r="AF277" s="2" t="s">
        <v>518</v>
      </c>
      <c r="AG277" s="2" t="s">
        <v>124</v>
      </c>
      <c r="AH277" s="2" t="s">
        <v>125</v>
      </c>
      <c r="AI277" s="2" t="s">
        <v>192</v>
      </c>
      <c r="AJ277" s="23">
        <v>86</v>
      </c>
      <c r="AK277" s="23">
        <v>1705</v>
      </c>
      <c r="AL277" s="23">
        <v>3747</v>
      </c>
      <c r="AM277" s="24">
        <v>0.45503069121964201</v>
      </c>
      <c r="AN277" s="44" t="str">
        <f>VLOOKUP(flu_aw25[[#This Row],[trust_code]],trust_lookup[],3,0)</f>
        <v>LAS</v>
      </c>
      <c r="AW277" s="2" t="s">
        <v>176</v>
      </c>
      <c r="AX277" s="2" t="s">
        <v>177</v>
      </c>
      <c r="AY277" s="2" t="s">
        <v>653</v>
      </c>
      <c r="AZ277" s="2">
        <v>415</v>
      </c>
      <c r="BA277" s="2">
        <v>118</v>
      </c>
      <c r="BB277" s="44" t="str">
        <f>VLOOKUP(age_group[[#This Row],[trust_code]],trust_lookup[],3,0)</f>
        <v>Hillingdon</v>
      </c>
    </row>
    <row r="278" spans="1:54" x14ac:dyDescent="0.35">
      <c r="A278" s="2" t="s">
        <v>519</v>
      </c>
      <c r="B278" s="2" t="s">
        <v>136</v>
      </c>
      <c r="C278" s="2" t="s">
        <v>137</v>
      </c>
      <c r="D278" s="2" t="s">
        <v>27</v>
      </c>
      <c r="E278" s="2" t="s">
        <v>81</v>
      </c>
      <c r="F278" s="2">
        <v>334</v>
      </c>
      <c r="G278" s="2">
        <v>135</v>
      </c>
      <c r="H278" s="14" t="str">
        <f>VLOOKUP(flu_group[[#This Row],[trust_code]],trust_lookup[],3,0)</f>
        <v>Moorfields</v>
      </c>
      <c r="I278" s="14" t="str">
        <f>VLOOKUP(flu_group[[#This Row],[trust_code]],trust_lookup[],4,0)</f>
        <v>Specialist</v>
      </c>
      <c r="K278" s="2" t="s">
        <v>518</v>
      </c>
      <c r="L278" s="2" t="s">
        <v>101</v>
      </c>
      <c r="M278" s="2" t="s">
        <v>102</v>
      </c>
      <c r="N278" s="2" t="s">
        <v>192</v>
      </c>
      <c r="O278" s="2" t="s">
        <v>47</v>
      </c>
      <c r="P278" s="2">
        <v>27</v>
      </c>
      <c r="R278" s="43">
        <v>45698</v>
      </c>
      <c r="S278" s="2">
        <v>7</v>
      </c>
      <c r="T278" s="2" t="s">
        <v>519</v>
      </c>
      <c r="U278" s="2" t="s">
        <v>89</v>
      </c>
      <c r="V278" s="2" t="s">
        <v>90</v>
      </c>
      <c r="W278" s="2" t="s">
        <v>193</v>
      </c>
      <c r="X278" s="23">
        <v>20</v>
      </c>
      <c r="Y278" s="23">
        <v>5896</v>
      </c>
      <c r="Z278" s="23">
        <v>17148</v>
      </c>
      <c r="AA278" s="24">
        <v>0.34383018427804901</v>
      </c>
      <c r="AB278" s="14" t="str">
        <f>VLOOKUP(flu_aw24[[#This Row],[trust_code]],trust_lookup[],3,0)</f>
        <v>GSTT</v>
      </c>
      <c r="AD278" s="43">
        <v>45999</v>
      </c>
      <c r="AE278" s="2">
        <v>50</v>
      </c>
      <c r="AF278" s="2" t="s">
        <v>518</v>
      </c>
      <c r="AG278" s="2" t="s">
        <v>124</v>
      </c>
      <c r="AH278" s="2" t="s">
        <v>125</v>
      </c>
      <c r="AI278" s="2" t="s">
        <v>192</v>
      </c>
      <c r="AJ278" s="23">
        <v>57</v>
      </c>
      <c r="AK278" s="23">
        <v>1762</v>
      </c>
      <c r="AL278" s="23">
        <v>3747</v>
      </c>
      <c r="AM278" s="24">
        <v>0.470242860955431</v>
      </c>
      <c r="AN278" s="44" t="str">
        <f>VLOOKUP(flu_aw25[[#This Row],[trust_code]],trust_lookup[],3,0)</f>
        <v>LAS</v>
      </c>
      <c r="AW278" s="2" t="s">
        <v>176</v>
      </c>
      <c r="AX278" s="2" t="s">
        <v>177</v>
      </c>
      <c r="AY278" s="2" t="s">
        <v>654</v>
      </c>
      <c r="AZ278" s="2">
        <v>349</v>
      </c>
      <c r="BA278" s="2">
        <v>94</v>
      </c>
      <c r="BB278" s="44" t="str">
        <f>VLOOKUP(age_group[[#This Row],[trust_code]],trust_lookup[],3,0)</f>
        <v>Hillingdon</v>
      </c>
    </row>
    <row r="279" spans="1:54" x14ac:dyDescent="0.35">
      <c r="A279" s="2" t="s">
        <v>519</v>
      </c>
      <c r="B279" s="2" t="s">
        <v>136</v>
      </c>
      <c r="C279" s="2" t="s">
        <v>137</v>
      </c>
      <c r="D279" s="2" t="s">
        <v>27</v>
      </c>
      <c r="E279" s="2" t="s">
        <v>46</v>
      </c>
      <c r="F279" s="2">
        <v>164</v>
      </c>
      <c r="G279" s="2">
        <v>38</v>
      </c>
      <c r="H279" s="14" t="str">
        <f>VLOOKUP(flu_group[[#This Row],[trust_code]],trust_lookup[],3,0)</f>
        <v>Moorfields</v>
      </c>
      <c r="I279" s="14" t="str">
        <f>VLOOKUP(flu_group[[#This Row],[trust_code]],trust_lookup[],4,0)</f>
        <v>Specialist</v>
      </c>
      <c r="K279" s="2" t="s">
        <v>518</v>
      </c>
      <c r="L279" s="2" t="s">
        <v>101</v>
      </c>
      <c r="M279" s="2" t="s">
        <v>102</v>
      </c>
      <c r="N279" s="2" t="s">
        <v>192</v>
      </c>
      <c r="O279" s="2" t="s">
        <v>94</v>
      </c>
      <c r="P279" s="2">
        <v>32</v>
      </c>
      <c r="R279" s="43">
        <v>45705</v>
      </c>
      <c r="S279" s="2">
        <v>8</v>
      </c>
      <c r="T279" s="2" t="s">
        <v>519</v>
      </c>
      <c r="U279" s="2" t="s">
        <v>89</v>
      </c>
      <c r="V279" s="2" t="s">
        <v>90</v>
      </c>
      <c r="W279" s="2" t="s">
        <v>193</v>
      </c>
      <c r="X279" s="23">
        <v>18</v>
      </c>
      <c r="Y279" s="23">
        <v>5914</v>
      </c>
      <c r="Z279" s="23">
        <v>17148</v>
      </c>
      <c r="AA279" s="24">
        <v>0.34487986937252102</v>
      </c>
      <c r="AB279" s="14" t="str">
        <f>VLOOKUP(flu_aw24[[#This Row],[trust_code]],trust_lookup[],3,0)</f>
        <v>GSTT</v>
      </c>
      <c r="AD279" s="43">
        <v>46006</v>
      </c>
      <c r="AE279" s="2">
        <v>51</v>
      </c>
      <c r="AF279" s="2" t="s">
        <v>518</v>
      </c>
      <c r="AG279" s="2" t="s">
        <v>124</v>
      </c>
      <c r="AH279" s="2" t="s">
        <v>125</v>
      </c>
      <c r="AI279" s="2" t="s">
        <v>192</v>
      </c>
      <c r="AJ279" s="23">
        <v>61</v>
      </c>
      <c r="AK279" s="23">
        <v>1823</v>
      </c>
      <c r="AL279" s="23">
        <v>3747</v>
      </c>
      <c r="AM279" s="24">
        <v>0.48652255137443201</v>
      </c>
      <c r="AN279" s="44" t="str">
        <f>VLOOKUP(flu_aw25[[#This Row],[trust_code]],trust_lookup[],3,0)</f>
        <v>LAS</v>
      </c>
      <c r="AW279" s="2" t="s">
        <v>176</v>
      </c>
      <c r="AX279" s="2" t="s">
        <v>177</v>
      </c>
      <c r="AY279" s="2" t="s">
        <v>655</v>
      </c>
      <c r="AZ279" s="2">
        <v>358</v>
      </c>
      <c r="BA279" s="2">
        <v>120</v>
      </c>
      <c r="BB279" s="44" t="str">
        <f>VLOOKUP(age_group[[#This Row],[trust_code]],trust_lookup[],3,0)</f>
        <v>Hillingdon</v>
      </c>
    </row>
    <row r="280" spans="1:54" x14ac:dyDescent="0.35">
      <c r="A280" s="2" t="s">
        <v>519</v>
      </c>
      <c r="B280" s="2" t="s">
        <v>136</v>
      </c>
      <c r="C280" s="2" t="s">
        <v>137</v>
      </c>
      <c r="D280" s="2" t="s">
        <v>27</v>
      </c>
      <c r="E280" s="2" t="s">
        <v>60</v>
      </c>
      <c r="F280" s="2">
        <v>55</v>
      </c>
      <c r="G280" s="2">
        <v>22</v>
      </c>
      <c r="H280" s="14" t="str">
        <f>VLOOKUP(flu_group[[#This Row],[trust_code]],trust_lookup[],3,0)</f>
        <v>Moorfields</v>
      </c>
      <c r="I280" s="14" t="str">
        <f>VLOOKUP(flu_group[[#This Row],[trust_code]],trust_lookup[],4,0)</f>
        <v>Specialist</v>
      </c>
      <c r="K280" s="2" t="s">
        <v>518</v>
      </c>
      <c r="L280" s="2" t="s">
        <v>101</v>
      </c>
      <c r="M280" s="2" t="s">
        <v>102</v>
      </c>
      <c r="N280" s="2" t="s">
        <v>192</v>
      </c>
      <c r="O280" s="2" t="s">
        <v>29</v>
      </c>
      <c r="P280" s="2">
        <v>70</v>
      </c>
      <c r="R280" s="43">
        <v>45712</v>
      </c>
      <c r="S280" s="2">
        <v>9</v>
      </c>
      <c r="T280" s="2" t="s">
        <v>519</v>
      </c>
      <c r="U280" s="2" t="s">
        <v>89</v>
      </c>
      <c r="V280" s="2" t="s">
        <v>90</v>
      </c>
      <c r="W280" s="2" t="s">
        <v>193</v>
      </c>
      <c r="X280" s="23">
        <v>5</v>
      </c>
      <c r="Y280" s="23">
        <v>5919</v>
      </c>
      <c r="Z280" s="23">
        <v>17148</v>
      </c>
      <c r="AA280" s="24">
        <v>0.34517144856542997</v>
      </c>
      <c r="AB280" s="14" t="str">
        <f>VLOOKUP(flu_aw24[[#This Row],[trust_code]],trust_lookup[],3,0)</f>
        <v>GSTT</v>
      </c>
      <c r="AD280" s="43">
        <v>46013</v>
      </c>
      <c r="AE280" s="2">
        <v>52</v>
      </c>
      <c r="AF280" s="2" t="s">
        <v>518</v>
      </c>
      <c r="AG280" s="2" t="s">
        <v>124</v>
      </c>
      <c r="AH280" s="2" t="s">
        <v>125</v>
      </c>
      <c r="AI280" s="2" t="s">
        <v>192</v>
      </c>
      <c r="AJ280" s="23">
        <v>8</v>
      </c>
      <c r="AK280" s="23">
        <v>1831</v>
      </c>
      <c r="AL280" s="23">
        <v>3747</v>
      </c>
      <c r="AM280" s="24">
        <v>0.48865759274085901</v>
      </c>
      <c r="AN280" s="44" t="str">
        <f>VLOOKUP(flu_aw25[[#This Row],[trust_code]],trust_lookup[],3,0)</f>
        <v>LAS</v>
      </c>
      <c r="AW280" s="2" t="s">
        <v>176</v>
      </c>
      <c r="AX280" s="2" t="s">
        <v>177</v>
      </c>
      <c r="AY280" s="2" t="s">
        <v>656</v>
      </c>
      <c r="AZ280" s="2">
        <v>376</v>
      </c>
      <c r="BA280" s="2">
        <v>132</v>
      </c>
      <c r="BB280" s="44" t="str">
        <f>VLOOKUP(age_group[[#This Row],[trust_code]],trust_lookup[],3,0)</f>
        <v>Hillingdon</v>
      </c>
    </row>
    <row r="281" spans="1:54" x14ac:dyDescent="0.35">
      <c r="A281" s="2" t="s">
        <v>519</v>
      </c>
      <c r="B281" s="2" t="s">
        <v>136</v>
      </c>
      <c r="C281" s="2" t="s">
        <v>137</v>
      </c>
      <c r="D281" s="2" t="s">
        <v>27</v>
      </c>
      <c r="E281" s="2" t="s">
        <v>28</v>
      </c>
      <c r="F281" s="2">
        <v>21</v>
      </c>
      <c r="G281" s="2">
        <v>7</v>
      </c>
      <c r="H281" s="14" t="str">
        <f>VLOOKUP(flu_group[[#This Row],[trust_code]],trust_lookup[],3,0)</f>
        <v>Moorfields</v>
      </c>
      <c r="I281" s="14" t="str">
        <f>VLOOKUP(flu_group[[#This Row],[trust_code]],trust_lookup[],4,0)</f>
        <v>Specialist</v>
      </c>
      <c r="K281" s="2" t="s">
        <v>518</v>
      </c>
      <c r="L281" s="2" t="s">
        <v>101</v>
      </c>
      <c r="M281" s="2" t="s">
        <v>102</v>
      </c>
      <c r="N281" s="2" t="s">
        <v>192</v>
      </c>
      <c r="O281" s="2" t="s">
        <v>123</v>
      </c>
      <c r="P281" s="2">
        <v>424</v>
      </c>
      <c r="R281" s="43">
        <v>45719</v>
      </c>
      <c r="S281" s="2">
        <v>10</v>
      </c>
      <c r="T281" s="2" t="s">
        <v>519</v>
      </c>
      <c r="U281" s="2" t="s">
        <v>89</v>
      </c>
      <c r="V281" s="2" t="s">
        <v>90</v>
      </c>
      <c r="W281" s="2" t="s">
        <v>193</v>
      </c>
      <c r="X281" s="23">
        <v>7</v>
      </c>
      <c r="Y281" s="23">
        <v>5926</v>
      </c>
      <c r="Z281" s="23">
        <v>17148</v>
      </c>
      <c r="AA281" s="24">
        <v>0.34557965943550201</v>
      </c>
      <c r="AB281" s="14" t="str">
        <f>VLOOKUP(flu_aw24[[#This Row],[trust_code]],trust_lookup[],3,0)</f>
        <v>GSTT</v>
      </c>
      <c r="AD281" s="43">
        <v>46020</v>
      </c>
      <c r="AE281" s="2">
        <v>1</v>
      </c>
      <c r="AF281" s="2" t="s">
        <v>518</v>
      </c>
      <c r="AG281" s="2" t="s">
        <v>124</v>
      </c>
      <c r="AH281" s="2" t="s">
        <v>125</v>
      </c>
      <c r="AI281" s="2" t="s">
        <v>192</v>
      </c>
      <c r="AJ281" s="23">
        <v>8</v>
      </c>
      <c r="AK281" s="23">
        <v>1839</v>
      </c>
      <c r="AL281" s="23">
        <v>3747</v>
      </c>
      <c r="AM281" s="24">
        <v>0.49079263410728502</v>
      </c>
      <c r="AN281" s="44" t="str">
        <f>VLOOKUP(flu_aw25[[#This Row],[trust_code]],trust_lookup[],3,0)</f>
        <v>LAS</v>
      </c>
      <c r="AW281" s="2" t="s">
        <v>176</v>
      </c>
      <c r="AX281" s="2" t="s">
        <v>177</v>
      </c>
      <c r="AY281" s="2" t="s">
        <v>657</v>
      </c>
      <c r="AZ281" s="2">
        <v>341</v>
      </c>
      <c r="BA281" s="2">
        <v>156</v>
      </c>
      <c r="BB281" s="44" t="str">
        <f>VLOOKUP(age_group[[#This Row],[trust_code]],trust_lookup[],3,0)</f>
        <v>Hillingdon</v>
      </c>
    </row>
    <row r="282" spans="1:54" x14ac:dyDescent="0.35">
      <c r="A282" s="2" t="s">
        <v>519</v>
      </c>
      <c r="B282" s="2" t="s">
        <v>136</v>
      </c>
      <c r="C282" s="2" t="s">
        <v>137</v>
      </c>
      <c r="D282" s="2" t="s">
        <v>27</v>
      </c>
      <c r="E282" s="2" t="s">
        <v>74</v>
      </c>
      <c r="F282" s="2">
        <v>57</v>
      </c>
      <c r="G282" s="2">
        <v>28</v>
      </c>
      <c r="H282" s="14" t="str">
        <f>VLOOKUP(flu_group[[#This Row],[trust_code]],trust_lookup[],3,0)</f>
        <v>Moorfields</v>
      </c>
      <c r="I282" s="14" t="str">
        <f>VLOOKUP(flu_group[[#This Row],[trust_code]],trust_lookup[],4,0)</f>
        <v>Specialist</v>
      </c>
      <c r="K282" s="2" t="s">
        <v>518</v>
      </c>
      <c r="L282" s="2" t="s">
        <v>101</v>
      </c>
      <c r="M282" s="2" t="s">
        <v>102</v>
      </c>
      <c r="N282" s="2" t="s">
        <v>192</v>
      </c>
      <c r="O282" s="2" t="s">
        <v>82</v>
      </c>
      <c r="P282" s="2">
        <v>66</v>
      </c>
      <c r="R282" s="43">
        <v>45726</v>
      </c>
      <c r="S282" s="2">
        <v>11</v>
      </c>
      <c r="T282" s="2" t="s">
        <v>519</v>
      </c>
      <c r="U282" s="2" t="s">
        <v>89</v>
      </c>
      <c r="V282" s="2" t="s">
        <v>90</v>
      </c>
      <c r="W282" s="2" t="s">
        <v>193</v>
      </c>
      <c r="X282" s="23">
        <v>1</v>
      </c>
      <c r="Y282" s="23">
        <v>5927</v>
      </c>
      <c r="Z282" s="23">
        <v>17148</v>
      </c>
      <c r="AA282" s="24">
        <v>0.34563797527408402</v>
      </c>
      <c r="AB282" s="14" t="str">
        <f>VLOOKUP(flu_aw24[[#This Row],[trust_code]],trust_lookup[],3,0)</f>
        <v>GSTT</v>
      </c>
      <c r="AD282" s="43">
        <v>46027</v>
      </c>
      <c r="AE282" s="2">
        <v>2</v>
      </c>
      <c r="AF282" s="2" t="s">
        <v>518</v>
      </c>
      <c r="AG282" s="2" t="s">
        <v>124</v>
      </c>
      <c r="AH282" s="2" t="s">
        <v>125</v>
      </c>
      <c r="AI282" s="2" t="s">
        <v>192</v>
      </c>
      <c r="AJ282" s="23">
        <v>9</v>
      </c>
      <c r="AK282" s="23">
        <v>1848</v>
      </c>
      <c r="AL282" s="23">
        <v>3747</v>
      </c>
      <c r="AM282" s="24">
        <v>0.49319455564451498</v>
      </c>
      <c r="AN282" s="44" t="str">
        <f>VLOOKUP(flu_aw25[[#This Row],[trust_code]],trust_lookup[],3,0)</f>
        <v>LAS</v>
      </c>
      <c r="AW282" s="2" t="s">
        <v>176</v>
      </c>
      <c r="AX282" s="2" t="s">
        <v>177</v>
      </c>
      <c r="AY282" s="2" t="s">
        <v>658</v>
      </c>
      <c r="AZ282" s="2">
        <v>248</v>
      </c>
      <c r="BA282" s="2">
        <v>106</v>
      </c>
      <c r="BB282" s="44" t="str">
        <f>VLOOKUP(age_group[[#This Row],[trust_code]],trust_lookup[],3,0)</f>
        <v>Hillingdon</v>
      </c>
    </row>
    <row r="283" spans="1:54" x14ac:dyDescent="0.35">
      <c r="A283" s="2" t="s">
        <v>519</v>
      </c>
      <c r="B283" s="2" t="s">
        <v>136</v>
      </c>
      <c r="C283" s="2" t="s">
        <v>137</v>
      </c>
      <c r="D283" s="2" t="s">
        <v>27</v>
      </c>
      <c r="E283" s="2" t="s">
        <v>42</v>
      </c>
      <c r="F283" s="2">
        <v>471</v>
      </c>
      <c r="G283" s="2">
        <v>231</v>
      </c>
      <c r="H283" s="14" t="str">
        <f>VLOOKUP(flu_group[[#This Row],[trust_code]],trust_lookup[],3,0)</f>
        <v>Moorfields</v>
      </c>
      <c r="I283" s="14" t="str">
        <f>VLOOKUP(flu_group[[#This Row],[trust_code]],trust_lookup[],4,0)</f>
        <v>Specialist</v>
      </c>
      <c r="K283" s="2" t="s">
        <v>518</v>
      </c>
      <c r="L283" s="2" t="s">
        <v>101</v>
      </c>
      <c r="M283" s="2" t="s">
        <v>102</v>
      </c>
      <c r="N283" s="2" t="s">
        <v>192</v>
      </c>
      <c r="O283" s="2" t="s">
        <v>88</v>
      </c>
      <c r="P283" s="2">
        <v>27</v>
      </c>
      <c r="R283" s="43">
        <v>45733</v>
      </c>
      <c r="S283" s="2">
        <v>12</v>
      </c>
      <c r="T283" s="2" t="s">
        <v>519</v>
      </c>
      <c r="U283" s="2" t="s">
        <v>89</v>
      </c>
      <c r="V283" s="2" t="s">
        <v>90</v>
      </c>
      <c r="W283" s="2" t="s">
        <v>193</v>
      </c>
      <c r="X283" s="23">
        <v>24</v>
      </c>
      <c r="Y283" s="23">
        <v>5951</v>
      </c>
      <c r="Z283" s="23">
        <v>17148</v>
      </c>
      <c r="AA283" s="24">
        <v>0.34703755540004599</v>
      </c>
      <c r="AB283" s="14" t="str">
        <f>VLOOKUP(flu_aw24[[#This Row],[trust_code]],trust_lookup[],3,0)</f>
        <v>GSTT</v>
      </c>
      <c r="AD283" s="43">
        <v>46034</v>
      </c>
      <c r="AE283" s="2">
        <v>3</v>
      </c>
      <c r="AF283" s="2" t="s">
        <v>518</v>
      </c>
      <c r="AG283" s="2" t="s">
        <v>124</v>
      </c>
      <c r="AH283" s="2" t="s">
        <v>125</v>
      </c>
      <c r="AI283" s="2" t="s">
        <v>192</v>
      </c>
      <c r="AJ283" s="23">
        <v>8</v>
      </c>
      <c r="AK283" s="23">
        <v>1856</v>
      </c>
      <c r="AL283" s="23">
        <v>3747</v>
      </c>
      <c r="AM283" s="24">
        <v>0.49532959701094198</v>
      </c>
      <c r="AN283" s="44" t="str">
        <f>VLOOKUP(flu_aw25[[#This Row],[trust_code]],trust_lookup[],3,0)</f>
        <v>LAS</v>
      </c>
      <c r="AW283" s="2" t="s">
        <v>176</v>
      </c>
      <c r="AX283" s="2" t="s">
        <v>177</v>
      </c>
      <c r="AY283" s="2" t="s">
        <v>659</v>
      </c>
      <c r="AZ283" s="2">
        <v>150</v>
      </c>
      <c r="BA283" s="2">
        <v>97</v>
      </c>
      <c r="BB283" s="44" t="str">
        <f>VLOOKUP(age_group[[#This Row],[trust_code]],trust_lookup[],3,0)</f>
        <v>Hillingdon</v>
      </c>
    </row>
    <row r="284" spans="1:54" x14ac:dyDescent="0.35">
      <c r="A284" s="2" t="s">
        <v>519</v>
      </c>
      <c r="B284" s="2" t="s">
        <v>136</v>
      </c>
      <c r="C284" s="2" t="s">
        <v>137</v>
      </c>
      <c r="D284" s="2" t="s">
        <v>27</v>
      </c>
      <c r="E284" s="2" t="s">
        <v>53</v>
      </c>
      <c r="F284" s="2">
        <v>446</v>
      </c>
      <c r="G284" s="2">
        <v>232</v>
      </c>
      <c r="H284" s="14" t="str">
        <f>VLOOKUP(flu_group[[#This Row],[trust_code]],trust_lookup[],3,0)</f>
        <v>Moorfields</v>
      </c>
      <c r="I284" s="14" t="str">
        <f>VLOOKUP(flu_group[[#This Row],[trust_code]],trust_lookup[],4,0)</f>
        <v>Specialist</v>
      </c>
      <c r="K284" s="2" t="s">
        <v>518</v>
      </c>
      <c r="L284" s="2" t="s">
        <v>101</v>
      </c>
      <c r="M284" s="2" t="s">
        <v>102</v>
      </c>
      <c r="N284" s="2" t="s">
        <v>192</v>
      </c>
      <c r="O284" s="2" t="s">
        <v>141</v>
      </c>
      <c r="P284" s="2">
        <v>688</v>
      </c>
      <c r="R284" s="43">
        <v>45740</v>
      </c>
      <c r="S284" s="2">
        <v>13</v>
      </c>
      <c r="T284" s="2" t="s">
        <v>519</v>
      </c>
      <c r="U284" s="2" t="s">
        <v>89</v>
      </c>
      <c r="V284" s="2" t="s">
        <v>90</v>
      </c>
      <c r="W284" s="2" t="s">
        <v>193</v>
      </c>
      <c r="X284" s="23">
        <v>5</v>
      </c>
      <c r="Y284" s="23">
        <v>5956</v>
      </c>
      <c r="Z284" s="23">
        <v>17148</v>
      </c>
      <c r="AA284" s="24">
        <v>0.347329134592955</v>
      </c>
      <c r="AB284" s="14" t="str">
        <f>VLOOKUP(flu_aw24[[#This Row],[trust_code]],trust_lookup[],3,0)</f>
        <v>GSTT</v>
      </c>
      <c r="AD284" s="43">
        <v>46041</v>
      </c>
      <c r="AE284" s="2">
        <v>4</v>
      </c>
      <c r="AF284" s="2" t="s">
        <v>518</v>
      </c>
      <c r="AG284" s="2" t="s">
        <v>124</v>
      </c>
      <c r="AH284" s="2" t="s">
        <v>125</v>
      </c>
      <c r="AI284" s="2" t="s">
        <v>192</v>
      </c>
      <c r="AJ284" s="23">
        <v>1</v>
      </c>
      <c r="AK284" s="23">
        <v>1857</v>
      </c>
      <c r="AL284" s="23">
        <v>3747</v>
      </c>
      <c r="AM284" s="24">
        <v>0.49559647718174499</v>
      </c>
      <c r="AN284" s="44" t="str">
        <f>VLOOKUP(flu_aw25[[#This Row],[trust_code]],trust_lookup[],3,0)</f>
        <v>LAS</v>
      </c>
      <c r="AW284" s="2" t="s">
        <v>179</v>
      </c>
      <c r="AX284" s="2" t="s">
        <v>180</v>
      </c>
      <c r="AY284" s="2" t="s">
        <v>650</v>
      </c>
      <c r="AZ284" s="2">
        <v>107</v>
      </c>
      <c r="BA284" s="2">
        <v>38</v>
      </c>
      <c r="BB284" s="44" t="str">
        <f>VLOOKUP(age_group[[#This Row],[trust_code]],trust_lookup[],3,0)</f>
        <v>Marsden</v>
      </c>
    </row>
    <row r="285" spans="1:54" x14ac:dyDescent="0.35">
      <c r="A285" s="2" t="s">
        <v>519</v>
      </c>
      <c r="B285" s="2" t="s">
        <v>136</v>
      </c>
      <c r="C285" s="2" t="s">
        <v>137</v>
      </c>
      <c r="D285" s="2" t="s">
        <v>27</v>
      </c>
      <c r="E285" s="2" t="s">
        <v>35</v>
      </c>
      <c r="F285" s="2">
        <v>10</v>
      </c>
      <c r="G285" s="2">
        <v>3</v>
      </c>
      <c r="H285" s="14" t="str">
        <f>VLOOKUP(flu_group[[#This Row],[trust_code]],trust_lookup[],3,0)</f>
        <v>Moorfields</v>
      </c>
      <c r="I285" s="14" t="str">
        <f>VLOOKUP(flu_group[[#This Row],[trust_code]],trust_lookup[],4,0)</f>
        <v>Specialist</v>
      </c>
      <c r="K285" s="2" t="s">
        <v>518</v>
      </c>
      <c r="L285" s="2" t="s">
        <v>101</v>
      </c>
      <c r="M285" s="2" t="s">
        <v>102</v>
      </c>
      <c r="N285" s="2" t="s">
        <v>192</v>
      </c>
      <c r="O285" s="2" t="s">
        <v>61</v>
      </c>
      <c r="P285" s="2">
        <v>60</v>
      </c>
      <c r="R285" s="43">
        <v>45544</v>
      </c>
      <c r="S285" s="2">
        <v>37</v>
      </c>
      <c r="T285" s="2" t="s">
        <v>519</v>
      </c>
      <c r="U285" s="2" t="s">
        <v>95</v>
      </c>
      <c r="V285" s="2" t="s">
        <v>96</v>
      </c>
      <c r="W285" s="2" t="s">
        <v>190</v>
      </c>
      <c r="X285" s="23">
        <v>1</v>
      </c>
      <c r="Y285" s="23">
        <v>1</v>
      </c>
      <c r="Z285" s="23">
        <v>3664</v>
      </c>
      <c r="AA285" s="24">
        <v>2.7292576419213902E-4</v>
      </c>
      <c r="AB285" s="14" t="str">
        <f>VLOOKUP(flu_aw24[[#This Row],[trust_code]],trust_lookup[],3,0)</f>
        <v>Homerton</v>
      </c>
      <c r="AD285" s="43">
        <v>46048</v>
      </c>
      <c r="AE285" s="2">
        <v>5</v>
      </c>
      <c r="AF285" s="2" t="s">
        <v>518</v>
      </c>
      <c r="AG285" s="2" t="s">
        <v>124</v>
      </c>
      <c r="AH285" s="2" t="s">
        <v>125</v>
      </c>
      <c r="AI285" s="2" t="s">
        <v>192</v>
      </c>
      <c r="AJ285" s="23">
        <v>10</v>
      </c>
      <c r="AK285" s="23">
        <v>1867</v>
      </c>
      <c r="AL285" s="23">
        <v>3747</v>
      </c>
      <c r="AM285" s="24">
        <v>0.49826527888977801</v>
      </c>
      <c r="AN285" s="44" t="str">
        <f>VLOOKUP(flu_aw25[[#This Row],[trust_code]],trust_lookup[],3,0)</f>
        <v>LAS</v>
      </c>
      <c r="AW285" s="2" t="s">
        <v>179</v>
      </c>
      <c r="AX285" s="2" t="s">
        <v>180</v>
      </c>
      <c r="AY285" s="2" t="s">
        <v>651</v>
      </c>
      <c r="AZ285" s="2">
        <v>351</v>
      </c>
      <c r="BA285" s="2">
        <v>139</v>
      </c>
      <c r="BB285" s="44" t="str">
        <f>VLOOKUP(age_group[[#This Row],[trust_code]],trust_lookup[],3,0)</f>
        <v>Marsden</v>
      </c>
    </row>
    <row r="286" spans="1:54" x14ac:dyDescent="0.35">
      <c r="A286" s="2" t="s">
        <v>519</v>
      </c>
      <c r="B286" s="2" t="s">
        <v>147</v>
      </c>
      <c r="C286" s="2" t="s">
        <v>148</v>
      </c>
      <c r="D286" s="2" t="s">
        <v>27</v>
      </c>
      <c r="E286" s="2" t="s">
        <v>67</v>
      </c>
      <c r="F286" s="2">
        <v>1163</v>
      </c>
      <c r="G286" s="2">
        <v>321</v>
      </c>
      <c r="H286" s="14" t="str">
        <f>VLOOKUP(flu_group[[#This Row],[trust_code]],trust_lookup[],3,0)</f>
        <v>North London</v>
      </c>
      <c r="I286" s="14" t="str">
        <f>VLOOKUP(flu_group[[#This Row],[trust_code]],trust_lookup[],4,0)</f>
        <v>Mental Health</v>
      </c>
      <c r="K286" s="2" t="s">
        <v>518</v>
      </c>
      <c r="L286" s="2" t="s">
        <v>101</v>
      </c>
      <c r="M286" s="2" t="s">
        <v>102</v>
      </c>
      <c r="N286" s="2" t="s">
        <v>192</v>
      </c>
      <c r="O286" s="2" t="s">
        <v>100</v>
      </c>
      <c r="P286" s="2">
        <v>327</v>
      </c>
      <c r="R286" s="43">
        <v>45551</v>
      </c>
      <c r="S286" s="2">
        <v>38</v>
      </c>
      <c r="T286" s="2" t="s">
        <v>519</v>
      </c>
      <c r="U286" s="2" t="s">
        <v>95</v>
      </c>
      <c r="V286" s="2" t="s">
        <v>96</v>
      </c>
      <c r="W286" s="2" t="s">
        <v>190</v>
      </c>
      <c r="X286" s="23">
        <v>5</v>
      </c>
      <c r="Y286" s="23">
        <v>6</v>
      </c>
      <c r="Z286" s="23">
        <v>3664</v>
      </c>
      <c r="AA286" s="24">
        <v>1.6375545851528301E-3</v>
      </c>
      <c r="AB286" s="14" t="str">
        <f>VLOOKUP(flu_aw24[[#This Row],[trust_code]],trust_lookup[],3,0)</f>
        <v>Homerton</v>
      </c>
      <c r="AD286" s="43">
        <v>46055</v>
      </c>
      <c r="AE286" s="2">
        <v>6</v>
      </c>
      <c r="AF286" s="2" t="s">
        <v>518</v>
      </c>
      <c r="AG286" s="2" t="s">
        <v>124</v>
      </c>
      <c r="AH286" s="2" t="s">
        <v>125</v>
      </c>
      <c r="AI286" s="2" t="s">
        <v>192</v>
      </c>
      <c r="AJ286" s="23">
        <v>2</v>
      </c>
      <c r="AK286" s="23">
        <v>1869</v>
      </c>
      <c r="AL286" s="23">
        <v>3747</v>
      </c>
      <c r="AM286" s="24">
        <v>0.49879903923138502</v>
      </c>
      <c r="AN286" s="44" t="str">
        <f>VLOOKUP(flu_aw25[[#This Row],[trust_code]],trust_lookup[],3,0)</f>
        <v>LAS</v>
      </c>
      <c r="AW286" s="2" t="s">
        <v>179</v>
      </c>
      <c r="AX286" s="2" t="s">
        <v>180</v>
      </c>
      <c r="AY286" s="2" t="s">
        <v>652</v>
      </c>
      <c r="AZ286" s="2">
        <v>528</v>
      </c>
      <c r="BA286" s="2">
        <v>233</v>
      </c>
      <c r="BB286" s="44" t="str">
        <f>VLOOKUP(age_group[[#This Row],[trust_code]],trust_lookup[],3,0)</f>
        <v>Marsden</v>
      </c>
    </row>
    <row r="287" spans="1:54" x14ac:dyDescent="0.35">
      <c r="A287" s="2" t="s">
        <v>519</v>
      </c>
      <c r="B287" s="2" t="s">
        <v>147</v>
      </c>
      <c r="C287" s="2" t="s">
        <v>148</v>
      </c>
      <c r="D287" s="2" t="s">
        <v>27</v>
      </c>
      <c r="E287" s="2" t="s">
        <v>81</v>
      </c>
      <c r="F287" s="2">
        <v>1703</v>
      </c>
      <c r="G287" s="2">
        <v>299</v>
      </c>
      <c r="H287" s="14" t="str">
        <f>VLOOKUP(flu_group[[#This Row],[trust_code]],trust_lookup[],3,0)</f>
        <v>North London</v>
      </c>
      <c r="I287" s="14" t="str">
        <f>VLOOKUP(flu_group[[#This Row],[trust_code]],trust_lookup[],4,0)</f>
        <v>Mental Health</v>
      </c>
      <c r="K287" s="2" t="s">
        <v>518</v>
      </c>
      <c r="L287" s="2" t="s">
        <v>101</v>
      </c>
      <c r="M287" s="2" t="s">
        <v>102</v>
      </c>
      <c r="N287" s="2" t="s">
        <v>192</v>
      </c>
      <c r="O287" s="2" t="s">
        <v>75</v>
      </c>
      <c r="P287" s="2">
        <v>99</v>
      </c>
      <c r="R287" s="43">
        <v>45558</v>
      </c>
      <c r="S287" s="2">
        <v>39</v>
      </c>
      <c r="T287" s="2" t="s">
        <v>519</v>
      </c>
      <c r="U287" s="2" t="s">
        <v>95</v>
      </c>
      <c r="V287" s="2" t="s">
        <v>96</v>
      </c>
      <c r="W287" s="2" t="s">
        <v>190</v>
      </c>
      <c r="X287" s="23">
        <v>10</v>
      </c>
      <c r="Y287" s="23">
        <v>16</v>
      </c>
      <c r="Z287" s="23">
        <v>3664</v>
      </c>
      <c r="AA287" s="24">
        <v>4.3668122270742304E-3</v>
      </c>
      <c r="AB287" s="14" t="str">
        <f>VLOOKUP(flu_aw24[[#This Row],[trust_code]],trust_lookup[],3,0)</f>
        <v>Homerton</v>
      </c>
      <c r="AD287" s="43">
        <v>46062</v>
      </c>
      <c r="AE287" s="2">
        <v>7</v>
      </c>
      <c r="AF287" s="2" t="s">
        <v>518</v>
      </c>
      <c r="AG287" s="2" t="s">
        <v>124</v>
      </c>
      <c r="AH287" s="2" t="s">
        <v>125</v>
      </c>
      <c r="AI287" s="2" t="s">
        <v>192</v>
      </c>
      <c r="AJ287" s="23">
        <v>1</v>
      </c>
      <c r="AK287" s="23">
        <v>1870</v>
      </c>
      <c r="AL287" s="23">
        <v>3747</v>
      </c>
      <c r="AM287" s="24">
        <v>0.49906591940218797</v>
      </c>
      <c r="AN287" s="44" t="str">
        <f>VLOOKUP(flu_aw25[[#This Row],[trust_code]],trust_lookup[],3,0)</f>
        <v>LAS</v>
      </c>
      <c r="AW287" s="2" t="s">
        <v>179</v>
      </c>
      <c r="AX287" s="2" t="s">
        <v>180</v>
      </c>
      <c r="AY287" s="2" t="s">
        <v>653</v>
      </c>
      <c r="AZ287" s="2">
        <v>539</v>
      </c>
      <c r="BA287" s="2">
        <v>242</v>
      </c>
      <c r="BB287" s="44" t="str">
        <f>VLOOKUP(age_group[[#This Row],[trust_code]],trust_lookup[],3,0)</f>
        <v>Marsden</v>
      </c>
    </row>
    <row r="288" spans="1:54" x14ac:dyDescent="0.35">
      <c r="A288" s="2" t="s">
        <v>519</v>
      </c>
      <c r="B288" s="2" t="s">
        <v>147</v>
      </c>
      <c r="C288" s="2" t="s">
        <v>148</v>
      </c>
      <c r="D288" s="2" t="s">
        <v>27</v>
      </c>
      <c r="E288" s="2" t="s">
        <v>46</v>
      </c>
      <c r="F288" s="2">
        <v>100</v>
      </c>
      <c r="G288" s="2">
        <v>25</v>
      </c>
      <c r="H288" s="14" t="str">
        <f>VLOOKUP(flu_group[[#This Row],[trust_code]],trust_lookup[],3,0)</f>
        <v>North London</v>
      </c>
      <c r="I288" s="14" t="str">
        <f>VLOOKUP(flu_group[[#This Row],[trust_code]],trust_lookup[],4,0)</f>
        <v>Mental Health</v>
      </c>
      <c r="K288" s="2" t="s">
        <v>518</v>
      </c>
      <c r="L288" s="2" t="s">
        <v>101</v>
      </c>
      <c r="M288" s="2" t="s">
        <v>102</v>
      </c>
      <c r="N288" s="2" t="s">
        <v>192</v>
      </c>
      <c r="O288" s="2" t="s">
        <v>106</v>
      </c>
      <c r="P288" s="2">
        <v>72</v>
      </c>
      <c r="R288" s="43">
        <v>45565</v>
      </c>
      <c r="S288" s="2">
        <v>40</v>
      </c>
      <c r="T288" s="2" t="s">
        <v>519</v>
      </c>
      <c r="U288" s="2" t="s">
        <v>95</v>
      </c>
      <c r="V288" s="2" t="s">
        <v>96</v>
      </c>
      <c r="W288" s="2" t="s">
        <v>190</v>
      </c>
      <c r="X288" s="23">
        <v>71</v>
      </c>
      <c r="Y288" s="23">
        <v>87</v>
      </c>
      <c r="Z288" s="23">
        <v>3664</v>
      </c>
      <c r="AA288" s="24">
        <v>2.3744541484716102E-2</v>
      </c>
      <c r="AB288" s="14" t="str">
        <f>VLOOKUP(flu_aw24[[#This Row],[trust_code]],trust_lookup[],3,0)</f>
        <v>Homerton</v>
      </c>
      <c r="AD288" s="43">
        <v>46069</v>
      </c>
      <c r="AE288" s="2">
        <v>8</v>
      </c>
      <c r="AF288" s="2" t="s">
        <v>518</v>
      </c>
      <c r="AG288" s="2" t="s">
        <v>124</v>
      </c>
      <c r="AH288" s="2" t="s">
        <v>125</v>
      </c>
      <c r="AI288" s="2" t="s">
        <v>192</v>
      </c>
      <c r="AJ288" s="23">
        <v>1</v>
      </c>
      <c r="AK288" s="23">
        <v>1871</v>
      </c>
      <c r="AL288" s="23">
        <v>3747</v>
      </c>
      <c r="AM288" s="24">
        <v>0.49933279957299098</v>
      </c>
      <c r="AN288" s="44" t="str">
        <f>VLOOKUP(flu_aw25[[#This Row],[trust_code]],trust_lookup[],3,0)</f>
        <v>LAS</v>
      </c>
      <c r="AW288" s="2" t="s">
        <v>179</v>
      </c>
      <c r="AX288" s="2" t="s">
        <v>180</v>
      </c>
      <c r="AY288" s="2" t="s">
        <v>654</v>
      </c>
      <c r="AZ288" s="2">
        <v>436</v>
      </c>
      <c r="BA288" s="2">
        <v>209</v>
      </c>
      <c r="BB288" s="44" t="str">
        <f>VLOOKUP(age_group[[#This Row],[trust_code]],trust_lookup[],3,0)</f>
        <v>Marsden</v>
      </c>
    </row>
    <row r="289" spans="1:54" x14ac:dyDescent="0.35">
      <c r="A289" s="2" t="s">
        <v>519</v>
      </c>
      <c r="B289" s="2" t="s">
        <v>147</v>
      </c>
      <c r="C289" s="2" t="s">
        <v>148</v>
      </c>
      <c r="D289" s="2" t="s">
        <v>27</v>
      </c>
      <c r="E289" s="2" t="s">
        <v>60</v>
      </c>
      <c r="F289" s="2">
        <v>278</v>
      </c>
      <c r="G289" s="2">
        <v>83</v>
      </c>
      <c r="H289" s="14" t="str">
        <f>VLOOKUP(flu_group[[#This Row],[trust_code]],trust_lookup[],3,0)</f>
        <v>North London</v>
      </c>
      <c r="I289" s="14" t="str">
        <f>VLOOKUP(flu_group[[#This Row],[trust_code]],trust_lookup[],4,0)</f>
        <v>Mental Health</v>
      </c>
      <c r="K289" s="2" t="s">
        <v>518</v>
      </c>
      <c r="L289" s="2" t="s">
        <v>101</v>
      </c>
      <c r="M289" s="2" t="s">
        <v>102</v>
      </c>
      <c r="N289" s="2" t="s">
        <v>192</v>
      </c>
      <c r="O289" s="2" t="s">
        <v>112</v>
      </c>
      <c r="P289" s="2">
        <v>421</v>
      </c>
      <c r="R289" s="43">
        <v>45572</v>
      </c>
      <c r="S289" s="2">
        <v>41</v>
      </c>
      <c r="T289" s="2" t="s">
        <v>519</v>
      </c>
      <c r="U289" s="2" t="s">
        <v>95</v>
      </c>
      <c r="V289" s="2" t="s">
        <v>96</v>
      </c>
      <c r="W289" s="2" t="s">
        <v>190</v>
      </c>
      <c r="X289" s="23">
        <v>133</v>
      </c>
      <c r="Y289" s="23">
        <v>220</v>
      </c>
      <c r="Z289" s="23">
        <v>3664</v>
      </c>
      <c r="AA289" s="24">
        <v>6.0043668122270702E-2</v>
      </c>
      <c r="AB289" s="14" t="str">
        <f>VLOOKUP(flu_aw24[[#This Row],[trust_code]],trust_lookup[],3,0)</f>
        <v>Homerton</v>
      </c>
      <c r="AD289" s="43">
        <v>46076</v>
      </c>
      <c r="AE289" s="2">
        <v>9</v>
      </c>
      <c r="AF289" s="2" t="s">
        <v>518</v>
      </c>
      <c r="AG289" s="2" t="s">
        <v>124</v>
      </c>
      <c r="AH289" s="2" t="s">
        <v>125</v>
      </c>
      <c r="AI289" s="2" t="s">
        <v>192</v>
      </c>
      <c r="AJ289" s="23">
        <v>1</v>
      </c>
      <c r="AK289" s="23">
        <v>1872</v>
      </c>
      <c r="AL289" s="23">
        <v>3747</v>
      </c>
      <c r="AM289" s="24">
        <v>0.49959967974379499</v>
      </c>
      <c r="AN289" s="44" t="str">
        <f>VLOOKUP(flu_aw25[[#This Row],[trust_code]],trust_lookup[],3,0)</f>
        <v>LAS</v>
      </c>
      <c r="AW289" s="2" t="s">
        <v>179</v>
      </c>
      <c r="AX289" s="2" t="s">
        <v>180</v>
      </c>
      <c r="AY289" s="2" t="s">
        <v>655</v>
      </c>
      <c r="AZ289" s="2">
        <v>420</v>
      </c>
      <c r="BA289" s="2">
        <v>195</v>
      </c>
      <c r="BB289" s="44" t="str">
        <f>VLOOKUP(age_group[[#This Row],[trust_code]],trust_lookup[],3,0)</f>
        <v>Marsden</v>
      </c>
    </row>
    <row r="290" spans="1:54" x14ac:dyDescent="0.35">
      <c r="A290" s="2" t="s">
        <v>519</v>
      </c>
      <c r="B290" s="2" t="s">
        <v>147</v>
      </c>
      <c r="C290" s="2" t="s">
        <v>148</v>
      </c>
      <c r="D290" s="2" t="s">
        <v>27</v>
      </c>
      <c r="E290" s="2" t="s">
        <v>28</v>
      </c>
      <c r="F290" s="2">
        <v>22</v>
      </c>
      <c r="G290" s="2">
        <v>5</v>
      </c>
      <c r="H290" s="14" t="str">
        <f>VLOOKUP(flu_group[[#This Row],[trust_code]],trust_lookup[],3,0)</f>
        <v>North London</v>
      </c>
      <c r="I290" s="14" t="str">
        <f>VLOOKUP(flu_group[[#This Row],[trust_code]],trust_lookup[],4,0)</f>
        <v>Mental Health</v>
      </c>
      <c r="K290" s="2" t="s">
        <v>518</v>
      </c>
      <c r="L290" s="2" t="s">
        <v>101</v>
      </c>
      <c r="M290" s="2" t="s">
        <v>102</v>
      </c>
      <c r="N290" s="2" t="s">
        <v>192</v>
      </c>
      <c r="O290" s="2" t="s">
        <v>36</v>
      </c>
      <c r="P290" s="2">
        <v>255</v>
      </c>
      <c r="R290" s="43">
        <v>45579</v>
      </c>
      <c r="S290" s="2">
        <v>42</v>
      </c>
      <c r="T290" s="2" t="s">
        <v>519</v>
      </c>
      <c r="U290" s="2" t="s">
        <v>95</v>
      </c>
      <c r="V290" s="2" t="s">
        <v>96</v>
      </c>
      <c r="W290" s="2" t="s">
        <v>190</v>
      </c>
      <c r="X290" s="23">
        <v>165</v>
      </c>
      <c r="Y290" s="23">
        <v>385</v>
      </c>
      <c r="Z290" s="23">
        <v>3664</v>
      </c>
      <c r="AA290" s="24">
        <v>0.105076419213973</v>
      </c>
      <c r="AB290" s="14" t="str">
        <f>VLOOKUP(flu_aw24[[#This Row],[trust_code]],trust_lookup[],3,0)</f>
        <v>Homerton</v>
      </c>
      <c r="AD290" s="43">
        <v>45915</v>
      </c>
      <c r="AE290" s="2">
        <v>38</v>
      </c>
      <c r="AF290" s="2" t="s">
        <v>518</v>
      </c>
      <c r="AG290" s="2" t="s">
        <v>142</v>
      </c>
      <c r="AH290" s="2" t="s">
        <v>143</v>
      </c>
      <c r="AI290" s="2" t="s">
        <v>190</v>
      </c>
      <c r="AJ290" s="23">
        <v>4</v>
      </c>
      <c r="AK290" s="23">
        <v>4</v>
      </c>
      <c r="AL290" s="23">
        <v>6076</v>
      </c>
      <c r="AM290" s="24">
        <v>6.5832784726793897E-4</v>
      </c>
      <c r="AN290" s="44" t="str">
        <f>VLOOKUP(flu_aw25[[#This Row],[trust_code]],trust_lookup[],3,0)</f>
        <v>NELFT</v>
      </c>
      <c r="AW290" s="2" t="s">
        <v>179</v>
      </c>
      <c r="AX290" s="2" t="s">
        <v>180</v>
      </c>
      <c r="AY290" s="2" t="s">
        <v>656</v>
      </c>
      <c r="AZ290" s="2">
        <v>370</v>
      </c>
      <c r="BA290" s="2">
        <v>177</v>
      </c>
      <c r="BB290" s="44" t="str">
        <f>VLOOKUP(age_group[[#This Row],[trust_code]],trust_lookup[],3,0)</f>
        <v>Marsden</v>
      </c>
    </row>
    <row r="291" spans="1:54" x14ac:dyDescent="0.35">
      <c r="A291" s="2" t="s">
        <v>519</v>
      </c>
      <c r="B291" s="2" t="s">
        <v>147</v>
      </c>
      <c r="C291" s="2" t="s">
        <v>148</v>
      </c>
      <c r="D291" s="2" t="s">
        <v>27</v>
      </c>
      <c r="E291" s="2" t="s">
        <v>42</v>
      </c>
      <c r="F291" s="2">
        <v>490</v>
      </c>
      <c r="G291" s="2">
        <v>195</v>
      </c>
      <c r="H291" s="14" t="str">
        <f>VLOOKUP(flu_group[[#This Row],[trust_code]],trust_lookup[],3,0)</f>
        <v>North London</v>
      </c>
      <c r="I291" s="14" t="str">
        <f>VLOOKUP(flu_group[[#This Row],[trust_code]],trust_lookup[],4,0)</f>
        <v>Mental Health</v>
      </c>
      <c r="K291" s="2" t="s">
        <v>518</v>
      </c>
      <c r="L291" s="2" t="s">
        <v>124</v>
      </c>
      <c r="M291" s="2" t="s">
        <v>125</v>
      </c>
      <c r="N291" s="2" t="s">
        <v>192</v>
      </c>
      <c r="O291" s="2" t="s">
        <v>68</v>
      </c>
      <c r="P291" s="2">
        <v>1311</v>
      </c>
      <c r="R291" s="43">
        <v>45586</v>
      </c>
      <c r="S291" s="2">
        <v>43</v>
      </c>
      <c r="T291" s="2" t="s">
        <v>519</v>
      </c>
      <c r="U291" s="2" t="s">
        <v>95</v>
      </c>
      <c r="V291" s="2" t="s">
        <v>96</v>
      </c>
      <c r="W291" s="2" t="s">
        <v>190</v>
      </c>
      <c r="X291" s="23">
        <v>134</v>
      </c>
      <c r="Y291" s="23">
        <v>519</v>
      </c>
      <c r="Z291" s="23">
        <v>3664</v>
      </c>
      <c r="AA291" s="24">
        <v>0.14164847161572</v>
      </c>
      <c r="AB291" s="14" t="str">
        <f>VLOOKUP(flu_aw24[[#This Row],[trust_code]],trust_lookup[],3,0)</f>
        <v>Homerton</v>
      </c>
      <c r="AD291" s="43">
        <v>45922</v>
      </c>
      <c r="AE291" s="2">
        <v>39</v>
      </c>
      <c r="AF291" s="2" t="s">
        <v>518</v>
      </c>
      <c r="AG291" s="2" t="s">
        <v>142</v>
      </c>
      <c r="AH291" s="2" t="s">
        <v>143</v>
      </c>
      <c r="AI291" s="2" t="s">
        <v>190</v>
      </c>
      <c r="AJ291" s="23">
        <v>1</v>
      </c>
      <c r="AK291" s="23">
        <v>5</v>
      </c>
      <c r="AL291" s="23">
        <v>6076</v>
      </c>
      <c r="AM291" s="24">
        <v>8.2290980908492398E-4</v>
      </c>
      <c r="AN291" s="44" t="str">
        <f>VLOOKUP(flu_aw25[[#This Row],[trust_code]],trust_lookup[],3,0)</f>
        <v>NELFT</v>
      </c>
      <c r="AW291" s="2" t="s">
        <v>179</v>
      </c>
      <c r="AX291" s="2" t="s">
        <v>180</v>
      </c>
      <c r="AY291" s="2" t="s">
        <v>657</v>
      </c>
      <c r="AZ291" s="2">
        <v>251</v>
      </c>
      <c r="BA291" s="2">
        <v>140</v>
      </c>
      <c r="BB291" s="44" t="str">
        <f>VLOOKUP(age_group[[#This Row],[trust_code]],trust_lookup[],3,0)</f>
        <v>Marsden</v>
      </c>
    </row>
    <row r="292" spans="1:54" x14ac:dyDescent="0.35">
      <c r="A292" s="2" t="s">
        <v>519</v>
      </c>
      <c r="B292" s="2" t="s">
        <v>147</v>
      </c>
      <c r="C292" s="2" t="s">
        <v>148</v>
      </c>
      <c r="D292" s="2" t="s">
        <v>27</v>
      </c>
      <c r="E292" s="2" t="s">
        <v>53</v>
      </c>
      <c r="F292" s="2">
        <v>1391</v>
      </c>
      <c r="G292" s="2">
        <v>309</v>
      </c>
      <c r="H292" s="14" t="str">
        <f>VLOOKUP(flu_group[[#This Row],[trust_code]],trust_lookup[],3,0)</f>
        <v>North London</v>
      </c>
      <c r="I292" s="14" t="str">
        <f>VLOOKUP(flu_group[[#This Row],[trust_code]],trust_lookup[],4,0)</f>
        <v>Mental Health</v>
      </c>
      <c r="K292" s="2" t="s">
        <v>518</v>
      </c>
      <c r="L292" s="2" t="s">
        <v>124</v>
      </c>
      <c r="M292" s="2" t="s">
        <v>125</v>
      </c>
      <c r="N292" s="2" t="s">
        <v>192</v>
      </c>
      <c r="O292" s="2" t="s">
        <v>135</v>
      </c>
      <c r="P292" s="2">
        <v>30</v>
      </c>
      <c r="R292" s="43">
        <v>45593</v>
      </c>
      <c r="S292" s="2">
        <v>44</v>
      </c>
      <c r="T292" s="2" t="s">
        <v>519</v>
      </c>
      <c r="U292" s="2" t="s">
        <v>95</v>
      </c>
      <c r="V292" s="2" t="s">
        <v>96</v>
      </c>
      <c r="W292" s="2" t="s">
        <v>190</v>
      </c>
      <c r="X292" s="23">
        <v>115</v>
      </c>
      <c r="Y292" s="23">
        <v>634</v>
      </c>
      <c r="Z292" s="23">
        <v>3664</v>
      </c>
      <c r="AA292" s="24">
        <v>0.17303493449781601</v>
      </c>
      <c r="AB292" s="14" t="str">
        <f>VLOOKUP(flu_aw24[[#This Row],[trust_code]],trust_lookup[],3,0)</f>
        <v>Homerton</v>
      </c>
      <c r="AD292" s="43">
        <v>45929</v>
      </c>
      <c r="AE292" s="2">
        <v>40</v>
      </c>
      <c r="AF292" s="2" t="s">
        <v>518</v>
      </c>
      <c r="AG292" s="2" t="s">
        <v>142</v>
      </c>
      <c r="AH292" s="2" t="s">
        <v>143</v>
      </c>
      <c r="AI292" s="2" t="s">
        <v>190</v>
      </c>
      <c r="AJ292" s="23">
        <v>177</v>
      </c>
      <c r="AK292" s="23">
        <v>182</v>
      </c>
      <c r="AL292" s="23">
        <v>6076</v>
      </c>
      <c r="AM292" s="24">
        <v>2.9953917050691201E-2</v>
      </c>
      <c r="AN292" s="44" t="str">
        <f>VLOOKUP(flu_aw25[[#This Row],[trust_code]],trust_lookup[],3,0)</f>
        <v>NELFT</v>
      </c>
      <c r="AW292" s="2" t="s">
        <v>179</v>
      </c>
      <c r="AX292" s="2" t="s">
        <v>180</v>
      </c>
      <c r="AY292" s="2" t="s">
        <v>658</v>
      </c>
      <c r="AZ292" s="2">
        <v>178</v>
      </c>
      <c r="BA292" s="2">
        <v>103</v>
      </c>
      <c r="BB292" s="44" t="str">
        <f>VLOOKUP(age_group[[#This Row],[trust_code]],trust_lookup[],3,0)</f>
        <v>Marsden</v>
      </c>
    </row>
    <row r="293" spans="1:54" x14ac:dyDescent="0.35">
      <c r="A293" s="2" t="s">
        <v>519</v>
      </c>
      <c r="B293" s="2" t="s">
        <v>147</v>
      </c>
      <c r="C293" s="2" t="s">
        <v>148</v>
      </c>
      <c r="D293" s="2" t="s">
        <v>27</v>
      </c>
      <c r="E293" s="2" t="s">
        <v>35</v>
      </c>
      <c r="F293" s="2">
        <v>18</v>
      </c>
      <c r="G293" s="2">
        <v>3</v>
      </c>
      <c r="H293" s="14" t="str">
        <f>VLOOKUP(flu_group[[#This Row],[trust_code]],trust_lookup[],3,0)</f>
        <v>North London</v>
      </c>
      <c r="I293" s="14" t="str">
        <f>VLOOKUP(flu_group[[#This Row],[trust_code]],trust_lookup[],4,0)</f>
        <v>Mental Health</v>
      </c>
      <c r="K293" s="2" t="s">
        <v>518</v>
      </c>
      <c r="L293" s="2" t="s">
        <v>124</v>
      </c>
      <c r="M293" s="2" t="s">
        <v>125</v>
      </c>
      <c r="N293" s="2" t="s">
        <v>192</v>
      </c>
      <c r="O293" s="2" t="s">
        <v>54</v>
      </c>
      <c r="P293" s="2">
        <v>215</v>
      </c>
      <c r="R293" s="43">
        <v>45600</v>
      </c>
      <c r="S293" s="2">
        <v>45</v>
      </c>
      <c r="T293" s="2" t="s">
        <v>519</v>
      </c>
      <c r="U293" s="2" t="s">
        <v>95</v>
      </c>
      <c r="V293" s="2" t="s">
        <v>96</v>
      </c>
      <c r="W293" s="2" t="s">
        <v>190</v>
      </c>
      <c r="X293" s="23">
        <v>106</v>
      </c>
      <c r="Y293" s="23">
        <v>740</v>
      </c>
      <c r="Z293" s="23">
        <v>3664</v>
      </c>
      <c r="AA293" s="24">
        <v>0.20196506550218299</v>
      </c>
      <c r="AB293" s="14" t="str">
        <f>VLOOKUP(flu_aw24[[#This Row],[trust_code]],trust_lookup[],3,0)</f>
        <v>Homerton</v>
      </c>
      <c r="AD293" s="43">
        <v>45936</v>
      </c>
      <c r="AE293" s="2">
        <v>41</v>
      </c>
      <c r="AF293" s="2" t="s">
        <v>518</v>
      </c>
      <c r="AG293" s="2" t="s">
        <v>142</v>
      </c>
      <c r="AH293" s="2" t="s">
        <v>143</v>
      </c>
      <c r="AI293" s="2" t="s">
        <v>190</v>
      </c>
      <c r="AJ293" s="23">
        <v>225</v>
      </c>
      <c r="AK293" s="23">
        <v>407</v>
      </c>
      <c r="AL293" s="23">
        <v>6076</v>
      </c>
      <c r="AM293" s="24">
        <v>6.6984858459512797E-2</v>
      </c>
      <c r="AN293" s="44" t="str">
        <f>VLOOKUP(flu_aw25[[#This Row],[trust_code]],trust_lookup[],3,0)</f>
        <v>NELFT</v>
      </c>
      <c r="AW293" s="2" t="s">
        <v>179</v>
      </c>
      <c r="AX293" s="2" t="s">
        <v>180</v>
      </c>
      <c r="AY293" s="2" t="s">
        <v>659</v>
      </c>
      <c r="AZ293" s="2">
        <v>100</v>
      </c>
      <c r="BA293" s="2">
        <v>71</v>
      </c>
      <c r="BB293" s="44" t="str">
        <f>VLOOKUP(age_group[[#This Row],[trust_code]],trust_lookup[],3,0)</f>
        <v>Marsden</v>
      </c>
    </row>
    <row r="294" spans="1:54" x14ac:dyDescent="0.35">
      <c r="A294" s="2" t="s">
        <v>519</v>
      </c>
      <c r="B294" s="2" t="s">
        <v>157</v>
      </c>
      <c r="C294" s="2" t="s">
        <v>158</v>
      </c>
      <c r="D294" s="2" t="s">
        <v>27</v>
      </c>
      <c r="E294" s="2" t="s">
        <v>67</v>
      </c>
      <c r="F294" s="2">
        <v>659</v>
      </c>
      <c r="G294" s="2">
        <v>234</v>
      </c>
      <c r="H294" s="14" t="str">
        <f>VLOOKUP(flu_group[[#This Row],[trust_code]],trust_lookup[],3,0)</f>
        <v>Royal Free</v>
      </c>
      <c r="I294" s="14" t="str">
        <f>VLOOKUP(flu_group[[#This Row],[trust_code]],trust_lookup[],4,0)</f>
        <v>Acute</v>
      </c>
      <c r="K294" s="2" t="s">
        <v>518</v>
      </c>
      <c r="L294" s="2" t="s">
        <v>124</v>
      </c>
      <c r="M294" s="2" t="s">
        <v>125</v>
      </c>
      <c r="N294" s="2" t="s">
        <v>192</v>
      </c>
      <c r="O294" s="2" t="s">
        <v>129</v>
      </c>
      <c r="P294" s="2">
        <v>10</v>
      </c>
      <c r="R294" s="43">
        <v>45607</v>
      </c>
      <c r="S294" s="2">
        <v>46</v>
      </c>
      <c r="T294" s="2" t="s">
        <v>519</v>
      </c>
      <c r="U294" s="2" t="s">
        <v>95</v>
      </c>
      <c r="V294" s="2" t="s">
        <v>96</v>
      </c>
      <c r="W294" s="2" t="s">
        <v>190</v>
      </c>
      <c r="X294" s="23">
        <v>84</v>
      </c>
      <c r="Y294" s="23">
        <v>824</v>
      </c>
      <c r="Z294" s="23">
        <v>3664</v>
      </c>
      <c r="AA294" s="24">
        <v>0.224890829694323</v>
      </c>
      <c r="AB294" s="14" t="str">
        <f>VLOOKUP(flu_aw24[[#This Row],[trust_code]],trust_lookup[],3,0)</f>
        <v>Homerton</v>
      </c>
      <c r="AD294" s="43">
        <v>45943</v>
      </c>
      <c r="AE294" s="2">
        <v>42</v>
      </c>
      <c r="AF294" s="2" t="s">
        <v>518</v>
      </c>
      <c r="AG294" s="2" t="s">
        <v>142</v>
      </c>
      <c r="AH294" s="2" t="s">
        <v>143</v>
      </c>
      <c r="AI294" s="2" t="s">
        <v>190</v>
      </c>
      <c r="AJ294" s="23">
        <v>241</v>
      </c>
      <c r="AK294" s="23">
        <v>648</v>
      </c>
      <c r="AL294" s="23">
        <v>6076</v>
      </c>
      <c r="AM294" s="24">
        <v>0.106649111257406</v>
      </c>
      <c r="AN294" s="44" t="str">
        <f>VLOOKUP(flu_aw25[[#This Row],[trust_code]],trust_lookup[],3,0)</f>
        <v>NELFT</v>
      </c>
      <c r="AW294" s="2" t="s">
        <v>182</v>
      </c>
      <c r="AX294" s="2" t="s">
        <v>183</v>
      </c>
      <c r="AY294" s="2" t="s">
        <v>650</v>
      </c>
      <c r="AZ294" s="2">
        <v>255</v>
      </c>
      <c r="BA294" s="2">
        <v>73</v>
      </c>
      <c r="BB294" s="44" t="str">
        <f>VLOOKUP(age_group[[#This Row],[trust_code]],trust_lookup[],3,0)</f>
        <v>UCLH</v>
      </c>
    </row>
    <row r="295" spans="1:54" x14ac:dyDescent="0.35">
      <c r="A295" s="2" t="s">
        <v>519</v>
      </c>
      <c r="B295" s="2" t="s">
        <v>157</v>
      </c>
      <c r="C295" s="2" t="s">
        <v>158</v>
      </c>
      <c r="D295" s="2" t="s">
        <v>27</v>
      </c>
      <c r="E295" s="2" t="s">
        <v>81</v>
      </c>
      <c r="F295" s="2">
        <v>3057</v>
      </c>
      <c r="G295" s="2">
        <v>696</v>
      </c>
      <c r="H295" s="14" t="str">
        <f>VLOOKUP(flu_group[[#This Row],[trust_code]],trust_lookup[],3,0)</f>
        <v>Royal Free</v>
      </c>
      <c r="I295" s="14" t="str">
        <f>VLOOKUP(flu_group[[#This Row],[trust_code]],trust_lookup[],4,0)</f>
        <v>Acute</v>
      </c>
      <c r="K295" s="2" t="s">
        <v>518</v>
      </c>
      <c r="L295" s="2" t="s">
        <v>124</v>
      </c>
      <c r="M295" s="2" t="s">
        <v>125</v>
      </c>
      <c r="N295" s="2" t="s">
        <v>192</v>
      </c>
      <c r="O295" s="2" t="s">
        <v>47</v>
      </c>
      <c r="P295" s="2">
        <v>6</v>
      </c>
      <c r="R295" s="43">
        <v>45614</v>
      </c>
      <c r="S295" s="2">
        <v>47</v>
      </c>
      <c r="T295" s="2" t="s">
        <v>519</v>
      </c>
      <c r="U295" s="2" t="s">
        <v>95</v>
      </c>
      <c r="V295" s="2" t="s">
        <v>96</v>
      </c>
      <c r="W295" s="2" t="s">
        <v>190</v>
      </c>
      <c r="X295" s="23">
        <v>66</v>
      </c>
      <c r="Y295" s="23">
        <v>890</v>
      </c>
      <c r="Z295" s="23">
        <v>3664</v>
      </c>
      <c r="AA295" s="24">
        <v>0.242903930131004</v>
      </c>
      <c r="AB295" s="14" t="str">
        <f>VLOOKUP(flu_aw24[[#This Row],[trust_code]],trust_lookup[],3,0)</f>
        <v>Homerton</v>
      </c>
      <c r="AD295" s="43">
        <v>45950</v>
      </c>
      <c r="AE295" s="2">
        <v>43</v>
      </c>
      <c r="AF295" s="2" t="s">
        <v>518</v>
      </c>
      <c r="AG295" s="2" t="s">
        <v>142</v>
      </c>
      <c r="AH295" s="2" t="s">
        <v>143</v>
      </c>
      <c r="AI295" s="2" t="s">
        <v>190</v>
      </c>
      <c r="AJ295" s="23">
        <v>217</v>
      </c>
      <c r="AK295" s="23">
        <v>865</v>
      </c>
      <c r="AL295" s="23">
        <v>6076</v>
      </c>
      <c r="AM295" s="24">
        <v>0.14236339697169101</v>
      </c>
      <c r="AN295" s="44" t="str">
        <f>VLOOKUP(flu_aw25[[#This Row],[trust_code]],trust_lookup[],3,0)</f>
        <v>NELFT</v>
      </c>
      <c r="AW295" s="2" t="s">
        <v>182</v>
      </c>
      <c r="AX295" s="2" t="s">
        <v>183</v>
      </c>
      <c r="AY295" s="2" t="s">
        <v>651</v>
      </c>
      <c r="AZ295" s="2">
        <v>922</v>
      </c>
      <c r="BA295" s="2">
        <v>383</v>
      </c>
      <c r="BB295" s="44" t="str">
        <f>VLOOKUP(age_group[[#This Row],[trust_code]],trust_lookup[],3,0)</f>
        <v>UCLH</v>
      </c>
    </row>
    <row r="296" spans="1:54" x14ac:dyDescent="0.35">
      <c r="A296" s="2" t="s">
        <v>519</v>
      </c>
      <c r="B296" s="2" t="s">
        <v>157</v>
      </c>
      <c r="C296" s="2" t="s">
        <v>158</v>
      </c>
      <c r="D296" s="2" t="s">
        <v>27</v>
      </c>
      <c r="E296" s="2" t="s">
        <v>46</v>
      </c>
      <c r="F296" s="2">
        <v>1635</v>
      </c>
      <c r="G296" s="2">
        <v>415</v>
      </c>
      <c r="H296" s="14" t="str">
        <f>VLOOKUP(flu_group[[#This Row],[trust_code]],trust_lookup[],3,0)</f>
        <v>Royal Free</v>
      </c>
      <c r="I296" s="14" t="str">
        <f>VLOOKUP(flu_group[[#This Row],[trust_code]],trust_lookup[],4,0)</f>
        <v>Acute</v>
      </c>
      <c r="K296" s="2" t="s">
        <v>518</v>
      </c>
      <c r="L296" s="2" t="s">
        <v>124</v>
      </c>
      <c r="M296" s="2" t="s">
        <v>125</v>
      </c>
      <c r="N296" s="2" t="s">
        <v>192</v>
      </c>
      <c r="O296" s="2" t="s">
        <v>94</v>
      </c>
      <c r="P296" s="2">
        <v>5</v>
      </c>
      <c r="R296" s="43">
        <v>45621</v>
      </c>
      <c r="S296" s="2">
        <v>48</v>
      </c>
      <c r="T296" s="2" t="s">
        <v>519</v>
      </c>
      <c r="U296" s="2" t="s">
        <v>95</v>
      </c>
      <c r="V296" s="2" t="s">
        <v>96</v>
      </c>
      <c r="W296" s="2" t="s">
        <v>190</v>
      </c>
      <c r="X296" s="23">
        <v>84</v>
      </c>
      <c r="Y296" s="23">
        <v>974</v>
      </c>
      <c r="Z296" s="23">
        <v>3664</v>
      </c>
      <c r="AA296" s="24">
        <v>0.26582969432314402</v>
      </c>
      <c r="AB296" s="14" t="str">
        <f>VLOOKUP(flu_aw24[[#This Row],[trust_code]],trust_lookup[],3,0)</f>
        <v>Homerton</v>
      </c>
      <c r="AD296" s="43">
        <v>45957</v>
      </c>
      <c r="AE296" s="2">
        <v>44</v>
      </c>
      <c r="AF296" s="2" t="s">
        <v>518</v>
      </c>
      <c r="AG296" s="2" t="s">
        <v>142</v>
      </c>
      <c r="AH296" s="2" t="s">
        <v>143</v>
      </c>
      <c r="AI296" s="2" t="s">
        <v>190</v>
      </c>
      <c r="AJ296" s="23">
        <v>189</v>
      </c>
      <c r="AK296" s="23">
        <v>1054</v>
      </c>
      <c r="AL296" s="23">
        <v>6076</v>
      </c>
      <c r="AM296" s="24">
        <v>0.17346938775510201</v>
      </c>
      <c r="AN296" s="44" t="str">
        <f>VLOOKUP(flu_aw25[[#This Row],[trust_code]],trust_lookup[],3,0)</f>
        <v>NELFT</v>
      </c>
      <c r="AW296" s="2" t="s">
        <v>182</v>
      </c>
      <c r="AX296" s="2" t="s">
        <v>183</v>
      </c>
      <c r="AY296" s="2" t="s">
        <v>652</v>
      </c>
      <c r="AZ296" s="2">
        <v>1264</v>
      </c>
      <c r="BA296" s="2">
        <v>539</v>
      </c>
      <c r="BB296" s="44" t="str">
        <f>VLOOKUP(age_group[[#This Row],[trust_code]],trust_lookup[],3,0)</f>
        <v>UCLH</v>
      </c>
    </row>
    <row r="297" spans="1:54" x14ac:dyDescent="0.35">
      <c r="A297" s="2" t="s">
        <v>519</v>
      </c>
      <c r="B297" s="2" t="s">
        <v>157</v>
      </c>
      <c r="C297" s="2" t="s">
        <v>158</v>
      </c>
      <c r="D297" s="2" t="s">
        <v>27</v>
      </c>
      <c r="E297" s="2" t="s">
        <v>60</v>
      </c>
      <c r="F297" s="2">
        <v>1428</v>
      </c>
      <c r="G297" s="2">
        <v>454</v>
      </c>
      <c r="H297" s="14" t="str">
        <f>VLOOKUP(flu_group[[#This Row],[trust_code]],trust_lookup[],3,0)</f>
        <v>Royal Free</v>
      </c>
      <c r="I297" s="14" t="str">
        <f>VLOOKUP(flu_group[[#This Row],[trust_code]],trust_lookup[],4,0)</f>
        <v>Acute</v>
      </c>
      <c r="K297" s="2" t="s">
        <v>518</v>
      </c>
      <c r="L297" s="2" t="s">
        <v>124</v>
      </c>
      <c r="M297" s="2" t="s">
        <v>125</v>
      </c>
      <c r="N297" s="2" t="s">
        <v>192</v>
      </c>
      <c r="O297" s="2" t="s">
        <v>29</v>
      </c>
      <c r="P297" s="2">
        <v>18</v>
      </c>
      <c r="R297" s="43">
        <v>45628</v>
      </c>
      <c r="S297" s="2">
        <v>49</v>
      </c>
      <c r="T297" s="2" t="s">
        <v>519</v>
      </c>
      <c r="U297" s="2" t="s">
        <v>95</v>
      </c>
      <c r="V297" s="2" t="s">
        <v>96</v>
      </c>
      <c r="W297" s="2" t="s">
        <v>190</v>
      </c>
      <c r="X297" s="23">
        <v>64</v>
      </c>
      <c r="Y297" s="23">
        <v>1038</v>
      </c>
      <c r="Z297" s="23">
        <v>3664</v>
      </c>
      <c r="AA297" s="24">
        <v>0.283296943231441</v>
      </c>
      <c r="AB297" s="14" t="str">
        <f>VLOOKUP(flu_aw24[[#This Row],[trust_code]],trust_lookup[],3,0)</f>
        <v>Homerton</v>
      </c>
      <c r="AD297" s="43">
        <v>45964</v>
      </c>
      <c r="AE297" s="2">
        <v>45</v>
      </c>
      <c r="AF297" s="2" t="s">
        <v>518</v>
      </c>
      <c r="AG297" s="2" t="s">
        <v>142</v>
      </c>
      <c r="AH297" s="2" t="s">
        <v>143</v>
      </c>
      <c r="AI297" s="2" t="s">
        <v>190</v>
      </c>
      <c r="AJ297" s="23">
        <v>173</v>
      </c>
      <c r="AK297" s="23">
        <v>1227</v>
      </c>
      <c r="AL297" s="23">
        <v>6076</v>
      </c>
      <c r="AM297" s="24">
        <v>0.20194206714943999</v>
      </c>
      <c r="AN297" s="44" t="str">
        <f>VLOOKUP(flu_aw25[[#This Row],[trust_code]],trust_lookup[],3,0)</f>
        <v>NELFT</v>
      </c>
      <c r="AW297" s="2" t="s">
        <v>182</v>
      </c>
      <c r="AX297" s="2" t="s">
        <v>183</v>
      </c>
      <c r="AY297" s="2" t="s">
        <v>653</v>
      </c>
      <c r="AZ297" s="2">
        <v>1463</v>
      </c>
      <c r="BA297" s="2">
        <v>638</v>
      </c>
      <c r="BB297" s="44" t="str">
        <f>VLOOKUP(age_group[[#This Row],[trust_code]],trust_lookup[],3,0)</f>
        <v>UCLH</v>
      </c>
    </row>
    <row r="298" spans="1:54" x14ac:dyDescent="0.35">
      <c r="A298" s="2" t="s">
        <v>519</v>
      </c>
      <c r="B298" s="2" t="s">
        <v>157</v>
      </c>
      <c r="C298" s="2" t="s">
        <v>158</v>
      </c>
      <c r="D298" s="2" t="s">
        <v>27</v>
      </c>
      <c r="E298" s="2" t="s">
        <v>28</v>
      </c>
      <c r="F298" s="2">
        <v>738</v>
      </c>
      <c r="G298" s="2">
        <v>188</v>
      </c>
      <c r="H298" s="14" t="str">
        <f>VLOOKUP(flu_group[[#This Row],[trust_code]],trust_lookup[],3,0)</f>
        <v>Royal Free</v>
      </c>
      <c r="I298" s="14" t="str">
        <f>VLOOKUP(flu_group[[#This Row],[trust_code]],trust_lookup[],4,0)</f>
        <v>Acute</v>
      </c>
      <c r="K298" s="2" t="s">
        <v>518</v>
      </c>
      <c r="L298" s="2" t="s">
        <v>124</v>
      </c>
      <c r="M298" s="2" t="s">
        <v>125</v>
      </c>
      <c r="N298" s="2" t="s">
        <v>192</v>
      </c>
      <c r="O298" s="2" t="s">
        <v>123</v>
      </c>
      <c r="P298" s="2">
        <v>20</v>
      </c>
      <c r="R298" s="43">
        <v>45635</v>
      </c>
      <c r="S298" s="2">
        <v>50</v>
      </c>
      <c r="T298" s="2" t="s">
        <v>519</v>
      </c>
      <c r="U298" s="2" t="s">
        <v>95</v>
      </c>
      <c r="V298" s="2" t="s">
        <v>96</v>
      </c>
      <c r="W298" s="2" t="s">
        <v>190</v>
      </c>
      <c r="X298" s="23">
        <v>60</v>
      </c>
      <c r="Y298" s="23">
        <v>1098</v>
      </c>
      <c r="Z298" s="23">
        <v>3664</v>
      </c>
      <c r="AA298" s="24">
        <v>0.29967248908296901</v>
      </c>
      <c r="AB298" s="14" t="str">
        <f>VLOOKUP(flu_aw24[[#This Row],[trust_code]],trust_lookup[],3,0)</f>
        <v>Homerton</v>
      </c>
      <c r="AD298" s="43">
        <v>45971</v>
      </c>
      <c r="AE298" s="2">
        <v>46</v>
      </c>
      <c r="AF298" s="2" t="s">
        <v>518</v>
      </c>
      <c r="AG298" s="2" t="s">
        <v>142</v>
      </c>
      <c r="AH298" s="2" t="s">
        <v>143</v>
      </c>
      <c r="AI298" s="2" t="s">
        <v>190</v>
      </c>
      <c r="AJ298" s="23">
        <v>127</v>
      </c>
      <c r="AK298" s="23">
        <v>1354</v>
      </c>
      <c r="AL298" s="23">
        <v>6076</v>
      </c>
      <c r="AM298" s="24">
        <v>0.22284397630019701</v>
      </c>
      <c r="AN298" s="44" t="str">
        <f>VLOOKUP(flu_aw25[[#This Row],[trust_code]],trust_lookup[],3,0)</f>
        <v>NELFT</v>
      </c>
      <c r="AW298" s="2" t="s">
        <v>182</v>
      </c>
      <c r="AX298" s="2" t="s">
        <v>183</v>
      </c>
      <c r="AY298" s="2" t="s">
        <v>654</v>
      </c>
      <c r="AZ298" s="2">
        <v>1037</v>
      </c>
      <c r="BA298" s="2">
        <v>463</v>
      </c>
      <c r="BB298" s="44" t="str">
        <f>VLOOKUP(age_group[[#This Row],[trust_code]],trust_lookup[],3,0)</f>
        <v>UCLH</v>
      </c>
    </row>
    <row r="299" spans="1:54" x14ac:dyDescent="0.35">
      <c r="A299" s="2" t="s">
        <v>519</v>
      </c>
      <c r="B299" s="2" t="s">
        <v>157</v>
      </c>
      <c r="C299" s="2" t="s">
        <v>158</v>
      </c>
      <c r="D299" s="2" t="s">
        <v>27</v>
      </c>
      <c r="E299" s="2" t="s">
        <v>74</v>
      </c>
      <c r="F299" s="2">
        <v>310</v>
      </c>
      <c r="G299" s="2">
        <v>112</v>
      </c>
      <c r="H299" s="14" t="str">
        <f>VLOOKUP(flu_group[[#This Row],[trust_code]],trust_lookup[],3,0)</f>
        <v>Royal Free</v>
      </c>
      <c r="I299" s="14" t="str">
        <f>VLOOKUP(flu_group[[#This Row],[trust_code]],trust_lookup[],4,0)</f>
        <v>Acute</v>
      </c>
      <c r="K299" s="2" t="s">
        <v>518</v>
      </c>
      <c r="L299" s="2" t="s">
        <v>124</v>
      </c>
      <c r="M299" s="2" t="s">
        <v>125</v>
      </c>
      <c r="N299" s="2" t="s">
        <v>192</v>
      </c>
      <c r="O299" s="2" t="s">
        <v>82</v>
      </c>
      <c r="P299" s="2">
        <v>5</v>
      </c>
      <c r="R299" s="43">
        <v>45642</v>
      </c>
      <c r="S299" s="2">
        <v>51</v>
      </c>
      <c r="T299" s="2" t="s">
        <v>519</v>
      </c>
      <c r="U299" s="2" t="s">
        <v>95</v>
      </c>
      <c r="V299" s="2" t="s">
        <v>96</v>
      </c>
      <c r="W299" s="2" t="s">
        <v>190</v>
      </c>
      <c r="X299" s="23">
        <v>58</v>
      </c>
      <c r="Y299" s="23">
        <v>1156</v>
      </c>
      <c r="Z299" s="23">
        <v>3664</v>
      </c>
      <c r="AA299" s="24">
        <v>0.31550218340611302</v>
      </c>
      <c r="AB299" s="14" t="str">
        <f>VLOOKUP(flu_aw24[[#This Row],[trust_code]],trust_lookup[],3,0)</f>
        <v>Homerton</v>
      </c>
      <c r="AD299" s="43">
        <v>45978</v>
      </c>
      <c r="AE299" s="2">
        <v>47</v>
      </c>
      <c r="AF299" s="2" t="s">
        <v>518</v>
      </c>
      <c r="AG299" s="2" t="s">
        <v>142</v>
      </c>
      <c r="AH299" s="2" t="s">
        <v>143</v>
      </c>
      <c r="AI299" s="2" t="s">
        <v>190</v>
      </c>
      <c r="AJ299" s="23">
        <v>114</v>
      </c>
      <c r="AK299" s="23">
        <v>1468</v>
      </c>
      <c r="AL299" s="23">
        <v>6076</v>
      </c>
      <c r="AM299" s="24">
        <v>0.241606319947333</v>
      </c>
      <c r="AN299" s="44" t="str">
        <f>VLOOKUP(flu_aw25[[#This Row],[trust_code]],trust_lookup[],3,0)</f>
        <v>NELFT</v>
      </c>
      <c r="AW299" s="2" t="s">
        <v>182</v>
      </c>
      <c r="AX299" s="2" t="s">
        <v>183</v>
      </c>
      <c r="AY299" s="2" t="s">
        <v>655</v>
      </c>
      <c r="AZ299" s="2">
        <v>987</v>
      </c>
      <c r="BA299" s="2">
        <v>403</v>
      </c>
      <c r="BB299" s="44" t="str">
        <f>VLOOKUP(age_group[[#This Row],[trust_code]],trust_lookup[],3,0)</f>
        <v>UCLH</v>
      </c>
    </row>
    <row r="300" spans="1:54" x14ac:dyDescent="0.35">
      <c r="A300" s="2" t="s">
        <v>519</v>
      </c>
      <c r="B300" s="2" t="s">
        <v>157</v>
      </c>
      <c r="C300" s="2" t="s">
        <v>158</v>
      </c>
      <c r="D300" s="2" t="s">
        <v>27</v>
      </c>
      <c r="E300" s="2" t="s">
        <v>42</v>
      </c>
      <c r="F300" s="2">
        <v>5699</v>
      </c>
      <c r="G300" s="2">
        <v>2133</v>
      </c>
      <c r="H300" s="14" t="str">
        <f>VLOOKUP(flu_group[[#This Row],[trust_code]],trust_lookup[],3,0)</f>
        <v>Royal Free</v>
      </c>
      <c r="I300" s="14" t="str">
        <f>VLOOKUP(flu_group[[#This Row],[trust_code]],trust_lookup[],4,0)</f>
        <v>Acute</v>
      </c>
      <c r="K300" s="2" t="s">
        <v>518</v>
      </c>
      <c r="L300" s="2" t="s">
        <v>124</v>
      </c>
      <c r="M300" s="2" t="s">
        <v>125</v>
      </c>
      <c r="N300" s="2" t="s">
        <v>192</v>
      </c>
      <c r="O300" s="2" t="s">
        <v>88</v>
      </c>
      <c r="P300" s="2">
        <v>11</v>
      </c>
      <c r="R300" s="43">
        <v>45649</v>
      </c>
      <c r="S300" s="2">
        <v>52</v>
      </c>
      <c r="T300" s="2" t="s">
        <v>519</v>
      </c>
      <c r="U300" s="2" t="s">
        <v>95</v>
      </c>
      <c r="V300" s="2" t="s">
        <v>96</v>
      </c>
      <c r="W300" s="2" t="s">
        <v>190</v>
      </c>
      <c r="X300" s="23">
        <v>2</v>
      </c>
      <c r="Y300" s="23">
        <v>1158</v>
      </c>
      <c r="Z300" s="23">
        <v>3664</v>
      </c>
      <c r="AA300" s="24">
        <v>0.31604803493449701</v>
      </c>
      <c r="AB300" s="14" t="str">
        <f>VLOOKUP(flu_aw24[[#This Row],[trust_code]],trust_lookup[],3,0)</f>
        <v>Homerton</v>
      </c>
      <c r="AD300" s="43">
        <v>45985</v>
      </c>
      <c r="AE300" s="2">
        <v>48</v>
      </c>
      <c r="AF300" s="2" t="s">
        <v>518</v>
      </c>
      <c r="AG300" s="2" t="s">
        <v>142</v>
      </c>
      <c r="AH300" s="2" t="s">
        <v>143</v>
      </c>
      <c r="AI300" s="2" t="s">
        <v>190</v>
      </c>
      <c r="AJ300" s="23">
        <v>98</v>
      </c>
      <c r="AK300" s="23">
        <v>1566</v>
      </c>
      <c r="AL300" s="23">
        <v>6076</v>
      </c>
      <c r="AM300" s="24">
        <v>0.25773535220539801</v>
      </c>
      <c r="AN300" s="44" t="str">
        <f>VLOOKUP(flu_aw25[[#This Row],[trust_code]],trust_lookup[],3,0)</f>
        <v>NELFT</v>
      </c>
      <c r="AW300" s="2" t="s">
        <v>182</v>
      </c>
      <c r="AX300" s="2" t="s">
        <v>183</v>
      </c>
      <c r="AY300" s="2" t="s">
        <v>656</v>
      </c>
      <c r="AZ300" s="2">
        <v>882</v>
      </c>
      <c r="BA300" s="2">
        <v>388</v>
      </c>
      <c r="BB300" s="44" t="str">
        <f>VLOOKUP(age_group[[#This Row],[trust_code]],trust_lookup[],3,0)</f>
        <v>UCLH</v>
      </c>
    </row>
    <row r="301" spans="1:54" x14ac:dyDescent="0.35">
      <c r="A301" s="2" t="s">
        <v>519</v>
      </c>
      <c r="B301" s="2" t="s">
        <v>157</v>
      </c>
      <c r="C301" s="2" t="s">
        <v>158</v>
      </c>
      <c r="D301" s="2" t="s">
        <v>27</v>
      </c>
      <c r="E301" s="2" t="s">
        <v>53</v>
      </c>
      <c r="F301" s="2">
        <v>5196</v>
      </c>
      <c r="G301" s="2">
        <v>1463</v>
      </c>
      <c r="H301" s="14" t="str">
        <f>VLOOKUP(flu_group[[#This Row],[trust_code]],trust_lookup[],3,0)</f>
        <v>Royal Free</v>
      </c>
      <c r="I301" s="14" t="str">
        <f>VLOOKUP(flu_group[[#This Row],[trust_code]],trust_lookup[],4,0)</f>
        <v>Acute</v>
      </c>
      <c r="K301" s="2" t="s">
        <v>518</v>
      </c>
      <c r="L301" s="2" t="s">
        <v>124</v>
      </c>
      <c r="M301" s="2" t="s">
        <v>125</v>
      </c>
      <c r="N301" s="2" t="s">
        <v>192</v>
      </c>
      <c r="O301" s="2" t="s">
        <v>141</v>
      </c>
      <c r="P301" s="2">
        <v>17</v>
      </c>
      <c r="R301" s="43">
        <v>45656</v>
      </c>
      <c r="S301" s="2">
        <v>1</v>
      </c>
      <c r="T301" s="2" t="s">
        <v>519</v>
      </c>
      <c r="U301" s="2" t="s">
        <v>95</v>
      </c>
      <c r="V301" s="2" t="s">
        <v>96</v>
      </c>
      <c r="W301" s="2" t="s">
        <v>190</v>
      </c>
      <c r="X301" s="23">
        <v>5</v>
      </c>
      <c r="Y301" s="23">
        <v>1163</v>
      </c>
      <c r="Z301" s="23">
        <v>3664</v>
      </c>
      <c r="AA301" s="24">
        <v>0.31741266375545801</v>
      </c>
      <c r="AB301" s="14" t="str">
        <f>VLOOKUP(flu_aw24[[#This Row],[trust_code]],trust_lookup[],3,0)</f>
        <v>Homerton</v>
      </c>
      <c r="AD301" s="43">
        <v>45992</v>
      </c>
      <c r="AE301" s="2">
        <v>49</v>
      </c>
      <c r="AF301" s="2" t="s">
        <v>518</v>
      </c>
      <c r="AG301" s="2" t="s">
        <v>142</v>
      </c>
      <c r="AH301" s="2" t="s">
        <v>143</v>
      </c>
      <c r="AI301" s="2" t="s">
        <v>190</v>
      </c>
      <c r="AJ301" s="23">
        <v>75</v>
      </c>
      <c r="AK301" s="23">
        <v>1641</v>
      </c>
      <c r="AL301" s="23">
        <v>6076</v>
      </c>
      <c r="AM301" s="24">
        <v>0.27007899934167201</v>
      </c>
      <c r="AN301" s="44" t="str">
        <f>VLOOKUP(flu_aw25[[#This Row],[trust_code]],trust_lookup[],3,0)</f>
        <v>NELFT</v>
      </c>
      <c r="AW301" s="2" t="s">
        <v>182</v>
      </c>
      <c r="AX301" s="2" t="s">
        <v>183</v>
      </c>
      <c r="AY301" s="2" t="s">
        <v>657</v>
      </c>
      <c r="AZ301" s="2">
        <v>731</v>
      </c>
      <c r="BA301" s="2">
        <v>347</v>
      </c>
      <c r="BB301" s="44" t="str">
        <f>VLOOKUP(age_group[[#This Row],[trust_code]],trust_lookup[],3,0)</f>
        <v>UCLH</v>
      </c>
    </row>
    <row r="302" spans="1:54" x14ac:dyDescent="0.35">
      <c r="A302" s="2" t="s">
        <v>519</v>
      </c>
      <c r="B302" s="2" t="s">
        <v>157</v>
      </c>
      <c r="C302" s="2" t="s">
        <v>158</v>
      </c>
      <c r="D302" s="2" t="s">
        <v>27</v>
      </c>
      <c r="E302" s="2" t="s">
        <v>35</v>
      </c>
      <c r="F302" s="2">
        <v>54</v>
      </c>
      <c r="G302" s="2">
        <v>7</v>
      </c>
      <c r="H302" s="14" t="str">
        <f>VLOOKUP(flu_group[[#This Row],[trust_code]],trust_lookup[],3,0)</f>
        <v>Royal Free</v>
      </c>
      <c r="I302" s="14" t="str">
        <f>VLOOKUP(flu_group[[#This Row],[trust_code]],trust_lookup[],4,0)</f>
        <v>Acute</v>
      </c>
      <c r="K302" s="2" t="s">
        <v>518</v>
      </c>
      <c r="L302" s="2" t="s">
        <v>124</v>
      </c>
      <c r="M302" s="2" t="s">
        <v>125</v>
      </c>
      <c r="N302" s="2" t="s">
        <v>192</v>
      </c>
      <c r="O302" s="2" t="s">
        <v>61</v>
      </c>
      <c r="P302" s="2">
        <v>14</v>
      </c>
      <c r="R302" s="43">
        <v>45663</v>
      </c>
      <c r="S302" s="2">
        <v>2</v>
      </c>
      <c r="T302" s="2" t="s">
        <v>519</v>
      </c>
      <c r="U302" s="2" t="s">
        <v>95</v>
      </c>
      <c r="V302" s="2" t="s">
        <v>96</v>
      </c>
      <c r="W302" s="2" t="s">
        <v>190</v>
      </c>
      <c r="X302" s="23">
        <v>12</v>
      </c>
      <c r="Y302" s="23">
        <v>1175</v>
      </c>
      <c r="Z302" s="23">
        <v>3664</v>
      </c>
      <c r="AA302" s="24">
        <v>0.320687772925764</v>
      </c>
      <c r="AB302" s="14" t="str">
        <f>VLOOKUP(flu_aw24[[#This Row],[trust_code]],trust_lookup[],3,0)</f>
        <v>Homerton</v>
      </c>
      <c r="AD302" s="43">
        <v>45999</v>
      </c>
      <c r="AE302" s="2">
        <v>50</v>
      </c>
      <c r="AF302" s="2" t="s">
        <v>518</v>
      </c>
      <c r="AG302" s="2" t="s">
        <v>142</v>
      </c>
      <c r="AH302" s="2" t="s">
        <v>143</v>
      </c>
      <c r="AI302" s="2" t="s">
        <v>190</v>
      </c>
      <c r="AJ302" s="23">
        <v>82</v>
      </c>
      <c r="AK302" s="23">
        <v>1723</v>
      </c>
      <c r="AL302" s="23">
        <v>6076</v>
      </c>
      <c r="AM302" s="24">
        <v>0.28357472021066399</v>
      </c>
      <c r="AN302" s="44" t="str">
        <f>VLOOKUP(flu_aw25[[#This Row],[trust_code]],trust_lookup[],3,0)</f>
        <v>NELFT</v>
      </c>
      <c r="AW302" s="2" t="s">
        <v>182</v>
      </c>
      <c r="AX302" s="2" t="s">
        <v>183</v>
      </c>
      <c r="AY302" s="2" t="s">
        <v>658</v>
      </c>
      <c r="AZ302" s="2">
        <v>417</v>
      </c>
      <c r="BA302" s="2">
        <v>189</v>
      </c>
      <c r="BB302" s="44" t="str">
        <f>VLOOKUP(age_group[[#This Row],[trust_code]],trust_lookup[],3,0)</f>
        <v>UCLH</v>
      </c>
    </row>
    <row r="303" spans="1:54" x14ac:dyDescent="0.35">
      <c r="A303" s="2" t="s">
        <v>519</v>
      </c>
      <c r="B303" s="2" t="s">
        <v>161</v>
      </c>
      <c r="C303" s="2" t="s">
        <v>162</v>
      </c>
      <c r="D303" s="2" t="s">
        <v>27</v>
      </c>
      <c r="E303" s="2" t="s">
        <v>67</v>
      </c>
      <c r="F303" s="2">
        <v>48</v>
      </c>
      <c r="G303" s="2">
        <v>18</v>
      </c>
      <c r="H303" s="14" t="str">
        <f>VLOOKUP(flu_group[[#This Row],[trust_code]],trust_lookup[],3,0)</f>
        <v>RNOH</v>
      </c>
      <c r="I303" s="14" t="str">
        <f>VLOOKUP(flu_group[[#This Row],[trust_code]],trust_lookup[],4,0)</f>
        <v>Specialist</v>
      </c>
      <c r="K303" s="2" t="s">
        <v>518</v>
      </c>
      <c r="L303" s="2" t="s">
        <v>124</v>
      </c>
      <c r="M303" s="2" t="s">
        <v>125</v>
      </c>
      <c r="N303" s="2" t="s">
        <v>192</v>
      </c>
      <c r="O303" s="2" t="s">
        <v>100</v>
      </c>
      <c r="P303" s="2">
        <v>22</v>
      </c>
      <c r="R303" s="43">
        <v>45670</v>
      </c>
      <c r="S303" s="2">
        <v>3</v>
      </c>
      <c r="T303" s="2" t="s">
        <v>519</v>
      </c>
      <c r="U303" s="2" t="s">
        <v>95</v>
      </c>
      <c r="V303" s="2" t="s">
        <v>96</v>
      </c>
      <c r="W303" s="2" t="s">
        <v>190</v>
      </c>
      <c r="X303" s="23">
        <v>13</v>
      </c>
      <c r="Y303" s="23">
        <v>1188</v>
      </c>
      <c r="Z303" s="23">
        <v>3664</v>
      </c>
      <c r="AA303" s="24">
        <v>0.32423580786026202</v>
      </c>
      <c r="AB303" s="14" t="str">
        <f>VLOOKUP(flu_aw24[[#This Row],[trust_code]],trust_lookup[],3,0)</f>
        <v>Homerton</v>
      </c>
      <c r="AD303" s="43">
        <v>46006</v>
      </c>
      <c r="AE303" s="2">
        <v>51</v>
      </c>
      <c r="AF303" s="2" t="s">
        <v>518</v>
      </c>
      <c r="AG303" s="2" t="s">
        <v>142</v>
      </c>
      <c r="AH303" s="2" t="s">
        <v>143</v>
      </c>
      <c r="AI303" s="2" t="s">
        <v>190</v>
      </c>
      <c r="AJ303" s="23">
        <v>132</v>
      </c>
      <c r="AK303" s="23">
        <v>1855</v>
      </c>
      <c r="AL303" s="23">
        <v>6076</v>
      </c>
      <c r="AM303" s="24">
        <v>0.30529953917050601</v>
      </c>
      <c r="AN303" s="44" t="str">
        <f>VLOOKUP(flu_aw25[[#This Row],[trust_code]],trust_lookup[],3,0)</f>
        <v>NELFT</v>
      </c>
      <c r="AW303" s="2" t="s">
        <v>182</v>
      </c>
      <c r="AX303" s="2" t="s">
        <v>183</v>
      </c>
      <c r="AY303" s="2" t="s">
        <v>659</v>
      </c>
      <c r="AZ303" s="2">
        <v>235</v>
      </c>
      <c r="BA303" s="2">
        <v>161</v>
      </c>
      <c r="BB303" s="44" t="str">
        <f>VLOOKUP(age_group[[#This Row],[trust_code]],trust_lookup[],3,0)</f>
        <v>UCLH</v>
      </c>
    </row>
    <row r="304" spans="1:54" x14ac:dyDescent="0.35">
      <c r="A304" s="2" t="s">
        <v>519</v>
      </c>
      <c r="B304" s="2" t="s">
        <v>161</v>
      </c>
      <c r="C304" s="2" t="s">
        <v>162</v>
      </c>
      <c r="D304" s="2" t="s">
        <v>27</v>
      </c>
      <c r="E304" s="2" t="s">
        <v>81</v>
      </c>
      <c r="F304" s="2">
        <v>147</v>
      </c>
      <c r="G304" s="2">
        <v>43</v>
      </c>
      <c r="H304" s="14" t="str">
        <f>VLOOKUP(flu_group[[#This Row],[trust_code]],trust_lookup[],3,0)</f>
        <v>RNOH</v>
      </c>
      <c r="I304" s="14" t="str">
        <f>VLOOKUP(flu_group[[#This Row],[trust_code]],trust_lookup[],4,0)</f>
        <v>Specialist</v>
      </c>
      <c r="K304" s="2" t="s">
        <v>518</v>
      </c>
      <c r="L304" s="2" t="s">
        <v>124</v>
      </c>
      <c r="M304" s="2" t="s">
        <v>125</v>
      </c>
      <c r="N304" s="2" t="s">
        <v>192</v>
      </c>
      <c r="O304" s="2" t="s">
        <v>75</v>
      </c>
      <c r="P304" s="2">
        <v>8</v>
      </c>
      <c r="R304" s="43">
        <v>45677</v>
      </c>
      <c r="S304" s="2">
        <v>4</v>
      </c>
      <c r="T304" s="2" t="s">
        <v>519</v>
      </c>
      <c r="U304" s="2" t="s">
        <v>95</v>
      </c>
      <c r="V304" s="2" t="s">
        <v>96</v>
      </c>
      <c r="W304" s="2" t="s">
        <v>190</v>
      </c>
      <c r="X304" s="23">
        <v>4</v>
      </c>
      <c r="Y304" s="23">
        <v>1192</v>
      </c>
      <c r="Z304" s="23">
        <v>3664</v>
      </c>
      <c r="AA304" s="24">
        <v>0.32532751091702999</v>
      </c>
      <c r="AB304" s="14" t="str">
        <f>VLOOKUP(flu_aw24[[#This Row],[trust_code]],trust_lookup[],3,0)</f>
        <v>Homerton</v>
      </c>
      <c r="AD304" s="43">
        <v>46013</v>
      </c>
      <c r="AE304" s="2">
        <v>52</v>
      </c>
      <c r="AF304" s="2" t="s">
        <v>518</v>
      </c>
      <c r="AG304" s="2" t="s">
        <v>142</v>
      </c>
      <c r="AH304" s="2" t="s">
        <v>143</v>
      </c>
      <c r="AI304" s="2" t="s">
        <v>190</v>
      </c>
      <c r="AJ304" s="23">
        <v>12</v>
      </c>
      <c r="AK304" s="23">
        <v>1867</v>
      </c>
      <c r="AL304" s="23">
        <v>6076</v>
      </c>
      <c r="AM304" s="24">
        <v>0.30727452271230998</v>
      </c>
      <c r="AN304" s="44" t="str">
        <f>VLOOKUP(flu_aw25[[#This Row],[trust_code]],trust_lookup[],3,0)</f>
        <v>NELFT</v>
      </c>
      <c r="AW304" s="2" t="s">
        <v>187</v>
      </c>
      <c r="AX304" s="2" t="s">
        <v>188</v>
      </c>
      <c r="AY304" s="2" t="s">
        <v>650</v>
      </c>
      <c r="AZ304" s="2">
        <v>177</v>
      </c>
      <c r="BA304" s="2">
        <v>35</v>
      </c>
      <c r="BB304" s="44" t="str">
        <f>VLOOKUP(age_group[[#This Row],[trust_code]],trust_lookup[],3,0)</f>
        <v>West London</v>
      </c>
    </row>
    <row r="305" spans="1:54" x14ac:dyDescent="0.35">
      <c r="A305" s="2" t="s">
        <v>519</v>
      </c>
      <c r="B305" s="2" t="s">
        <v>161</v>
      </c>
      <c r="C305" s="2" t="s">
        <v>162</v>
      </c>
      <c r="D305" s="2" t="s">
        <v>27</v>
      </c>
      <c r="E305" s="2" t="s">
        <v>60</v>
      </c>
      <c r="F305" s="2">
        <v>154</v>
      </c>
      <c r="G305" s="2">
        <v>64</v>
      </c>
      <c r="H305" s="14" t="str">
        <f>VLOOKUP(flu_group[[#This Row],[trust_code]],trust_lookup[],3,0)</f>
        <v>RNOH</v>
      </c>
      <c r="I305" s="14" t="str">
        <f>VLOOKUP(flu_group[[#This Row],[trust_code]],trust_lookup[],4,0)</f>
        <v>Specialist</v>
      </c>
      <c r="K305" s="2" t="s">
        <v>518</v>
      </c>
      <c r="L305" s="2" t="s">
        <v>124</v>
      </c>
      <c r="M305" s="2" t="s">
        <v>125</v>
      </c>
      <c r="N305" s="2" t="s">
        <v>192</v>
      </c>
      <c r="O305" s="2" t="s">
        <v>106</v>
      </c>
      <c r="P305" s="2">
        <v>5</v>
      </c>
      <c r="R305" s="43">
        <v>45684</v>
      </c>
      <c r="S305" s="2">
        <v>5</v>
      </c>
      <c r="T305" s="2" t="s">
        <v>519</v>
      </c>
      <c r="U305" s="2" t="s">
        <v>95</v>
      </c>
      <c r="V305" s="2" t="s">
        <v>96</v>
      </c>
      <c r="W305" s="2" t="s">
        <v>190</v>
      </c>
      <c r="X305" s="23">
        <v>2</v>
      </c>
      <c r="Y305" s="23">
        <v>1194</v>
      </c>
      <c r="Z305" s="23">
        <v>3664</v>
      </c>
      <c r="AA305" s="24">
        <v>0.32587336244541398</v>
      </c>
      <c r="AB305" s="14" t="str">
        <f>VLOOKUP(flu_aw24[[#This Row],[trust_code]],trust_lookup[],3,0)</f>
        <v>Homerton</v>
      </c>
      <c r="AD305" s="43">
        <v>46020</v>
      </c>
      <c r="AE305" s="2">
        <v>1</v>
      </c>
      <c r="AF305" s="2" t="s">
        <v>518</v>
      </c>
      <c r="AG305" s="2" t="s">
        <v>142</v>
      </c>
      <c r="AH305" s="2" t="s">
        <v>143</v>
      </c>
      <c r="AI305" s="2" t="s">
        <v>190</v>
      </c>
      <c r="AJ305" s="23">
        <v>22</v>
      </c>
      <c r="AK305" s="23">
        <v>1889</v>
      </c>
      <c r="AL305" s="23">
        <v>6076</v>
      </c>
      <c r="AM305" s="24">
        <v>0.31089532587228402</v>
      </c>
      <c r="AN305" s="44" t="str">
        <f>VLOOKUP(flu_aw25[[#This Row],[trust_code]],trust_lookup[],3,0)</f>
        <v>NELFT</v>
      </c>
      <c r="AW305" s="2" t="s">
        <v>187</v>
      </c>
      <c r="AX305" s="2" t="s">
        <v>188</v>
      </c>
      <c r="AY305" s="2" t="s">
        <v>651</v>
      </c>
      <c r="AZ305" s="2">
        <v>454</v>
      </c>
      <c r="BA305" s="2">
        <v>101</v>
      </c>
      <c r="BB305" s="44" t="str">
        <f>VLOOKUP(age_group[[#This Row],[trust_code]],trust_lookup[],3,0)</f>
        <v>West London</v>
      </c>
    </row>
    <row r="306" spans="1:54" x14ac:dyDescent="0.35">
      <c r="A306" s="2" t="s">
        <v>519</v>
      </c>
      <c r="B306" s="2" t="s">
        <v>161</v>
      </c>
      <c r="C306" s="2" t="s">
        <v>162</v>
      </c>
      <c r="D306" s="2" t="s">
        <v>27</v>
      </c>
      <c r="E306" s="2" t="s">
        <v>28</v>
      </c>
      <c r="F306" s="2">
        <v>8</v>
      </c>
      <c r="G306" s="2">
        <v>5</v>
      </c>
      <c r="H306" s="14" t="str">
        <f>VLOOKUP(flu_group[[#This Row],[trust_code]],trust_lookup[],3,0)</f>
        <v>RNOH</v>
      </c>
      <c r="I306" s="14" t="str">
        <f>VLOOKUP(flu_group[[#This Row],[trust_code]],trust_lookup[],4,0)</f>
        <v>Specialist</v>
      </c>
      <c r="K306" s="2" t="s">
        <v>518</v>
      </c>
      <c r="L306" s="2" t="s">
        <v>124</v>
      </c>
      <c r="M306" s="2" t="s">
        <v>125</v>
      </c>
      <c r="N306" s="2" t="s">
        <v>192</v>
      </c>
      <c r="O306" s="2" t="s">
        <v>112</v>
      </c>
      <c r="P306" s="2">
        <v>44</v>
      </c>
      <c r="R306" s="43">
        <v>45691</v>
      </c>
      <c r="S306" s="2">
        <v>6</v>
      </c>
      <c r="T306" s="2" t="s">
        <v>519</v>
      </c>
      <c r="U306" s="2" t="s">
        <v>95</v>
      </c>
      <c r="V306" s="2" t="s">
        <v>96</v>
      </c>
      <c r="W306" s="2" t="s">
        <v>190</v>
      </c>
      <c r="X306" s="23">
        <v>1</v>
      </c>
      <c r="Y306" s="23">
        <v>1195</v>
      </c>
      <c r="Z306" s="23">
        <v>3664</v>
      </c>
      <c r="AA306" s="24">
        <v>0.326146288209607</v>
      </c>
      <c r="AB306" s="14" t="str">
        <f>VLOOKUP(flu_aw24[[#This Row],[trust_code]],trust_lookup[],3,0)</f>
        <v>Homerton</v>
      </c>
      <c r="AD306" s="43">
        <v>46027</v>
      </c>
      <c r="AE306" s="2">
        <v>2</v>
      </c>
      <c r="AF306" s="2" t="s">
        <v>518</v>
      </c>
      <c r="AG306" s="2" t="s">
        <v>142</v>
      </c>
      <c r="AH306" s="2" t="s">
        <v>143</v>
      </c>
      <c r="AI306" s="2" t="s">
        <v>190</v>
      </c>
      <c r="AJ306" s="23">
        <v>37</v>
      </c>
      <c r="AK306" s="23">
        <v>1926</v>
      </c>
      <c r="AL306" s="23">
        <v>6076</v>
      </c>
      <c r="AM306" s="24">
        <v>0.31698485845951202</v>
      </c>
      <c r="AN306" s="44" t="str">
        <f>VLOOKUP(flu_aw25[[#This Row],[trust_code]],trust_lookup[],3,0)</f>
        <v>NELFT</v>
      </c>
      <c r="AW306" s="2" t="s">
        <v>187</v>
      </c>
      <c r="AX306" s="2" t="s">
        <v>188</v>
      </c>
      <c r="AY306" s="2" t="s">
        <v>652</v>
      </c>
      <c r="AZ306" s="2">
        <v>555</v>
      </c>
      <c r="BA306" s="2">
        <v>143</v>
      </c>
      <c r="BB306" s="44" t="str">
        <f>VLOOKUP(age_group[[#This Row],[trust_code]],trust_lookup[],3,0)</f>
        <v>West London</v>
      </c>
    </row>
    <row r="307" spans="1:54" x14ac:dyDescent="0.35">
      <c r="A307" s="2" t="s">
        <v>519</v>
      </c>
      <c r="B307" s="2" t="s">
        <v>161</v>
      </c>
      <c r="C307" s="2" t="s">
        <v>162</v>
      </c>
      <c r="D307" s="2" t="s">
        <v>27</v>
      </c>
      <c r="E307" s="2" t="s">
        <v>74</v>
      </c>
      <c r="F307" s="2">
        <v>16</v>
      </c>
      <c r="G307" s="2">
        <v>10</v>
      </c>
      <c r="H307" s="14" t="str">
        <f>VLOOKUP(flu_group[[#This Row],[trust_code]],trust_lookup[],3,0)</f>
        <v>RNOH</v>
      </c>
      <c r="I307" s="14" t="str">
        <f>VLOOKUP(flu_group[[#This Row],[trust_code]],trust_lookup[],4,0)</f>
        <v>Specialist</v>
      </c>
      <c r="K307" s="2" t="s">
        <v>518</v>
      </c>
      <c r="L307" s="2" t="s">
        <v>124</v>
      </c>
      <c r="M307" s="2" t="s">
        <v>125</v>
      </c>
      <c r="N307" s="2" t="s">
        <v>192</v>
      </c>
      <c r="O307" s="2" t="s">
        <v>36</v>
      </c>
      <c r="P307" s="2">
        <v>132</v>
      </c>
      <c r="R307" s="43">
        <v>45698</v>
      </c>
      <c r="S307" s="2">
        <v>7</v>
      </c>
      <c r="T307" s="2" t="s">
        <v>519</v>
      </c>
      <c r="U307" s="2" t="s">
        <v>95</v>
      </c>
      <c r="V307" s="2" t="s">
        <v>96</v>
      </c>
      <c r="W307" s="2" t="s">
        <v>190</v>
      </c>
      <c r="X307" s="23">
        <v>1</v>
      </c>
      <c r="Y307" s="23">
        <v>1196</v>
      </c>
      <c r="Z307" s="23">
        <v>3664</v>
      </c>
      <c r="AA307" s="24">
        <v>0.32641921397379903</v>
      </c>
      <c r="AB307" s="14" t="str">
        <f>VLOOKUP(flu_aw24[[#This Row],[trust_code]],trust_lookup[],3,0)</f>
        <v>Homerton</v>
      </c>
      <c r="AD307" s="43">
        <v>46034</v>
      </c>
      <c r="AE307" s="2">
        <v>3</v>
      </c>
      <c r="AF307" s="2" t="s">
        <v>518</v>
      </c>
      <c r="AG307" s="2" t="s">
        <v>142</v>
      </c>
      <c r="AH307" s="2" t="s">
        <v>143</v>
      </c>
      <c r="AI307" s="2" t="s">
        <v>190</v>
      </c>
      <c r="AJ307" s="23">
        <v>23</v>
      </c>
      <c r="AK307" s="23">
        <v>1949</v>
      </c>
      <c r="AL307" s="23">
        <v>6076</v>
      </c>
      <c r="AM307" s="24">
        <v>0.32077024358130302</v>
      </c>
      <c r="AN307" s="44" t="str">
        <f>VLOOKUP(flu_aw25[[#This Row],[trust_code]],trust_lookup[],3,0)</f>
        <v>NELFT</v>
      </c>
      <c r="AW307" s="2" t="s">
        <v>187</v>
      </c>
      <c r="AX307" s="2" t="s">
        <v>188</v>
      </c>
      <c r="AY307" s="2" t="s">
        <v>653</v>
      </c>
      <c r="AZ307" s="2">
        <v>503</v>
      </c>
      <c r="BA307" s="2">
        <v>142</v>
      </c>
      <c r="BB307" s="44" t="str">
        <f>VLOOKUP(age_group[[#This Row],[trust_code]],trust_lookup[],3,0)</f>
        <v>West London</v>
      </c>
    </row>
    <row r="308" spans="1:54" x14ac:dyDescent="0.35">
      <c r="A308" s="2" t="s">
        <v>519</v>
      </c>
      <c r="B308" s="2" t="s">
        <v>161</v>
      </c>
      <c r="C308" s="2" t="s">
        <v>162</v>
      </c>
      <c r="D308" s="2" t="s">
        <v>27</v>
      </c>
      <c r="E308" s="2" t="s">
        <v>42</v>
      </c>
      <c r="F308" s="2">
        <v>225</v>
      </c>
      <c r="G308" s="2">
        <v>89</v>
      </c>
      <c r="H308" s="14" t="str">
        <f>VLOOKUP(flu_group[[#This Row],[trust_code]],trust_lookup[],3,0)</f>
        <v>RNOH</v>
      </c>
      <c r="I308" s="14" t="str">
        <f>VLOOKUP(flu_group[[#This Row],[trust_code]],trust_lookup[],4,0)</f>
        <v>Specialist</v>
      </c>
      <c r="K308" s="2" t="s">
        <v>518</v>
      </c>
      <c r="L308" s="2" t="s">
        <v>130</v>
      </c>
      <c r="M308" s="2" t="s">
        <v>131</v>
      </c>
      <c r="N308" s="2" t="s">
        <v>192</v>
      </c>
      <c r="O308" s="2" t="s">
        <v>68</v>
      </c>
      <c r="P308" s="2">
        <v>322</v>
      </c>
      <c r="R308" s="43">
        <v>45705</v>
      </c>
      <c r="S308" s="2">
        <v>8</v>
      </c>
      <c r="T308" s="2" t="s">
        <v>519</v>
      </c>
      <c r="U308" s="2" t="s">
        <v>95</v>
      </c>
      <c r="V308" s="2" t="s">
        <v>96</v>
      </c>
      <c r="W308" s="2" t="s">
        <v>190</v>
      </c>
      <c r="X308" s="23">
        <v>2</v>
      </c>
      <c r="Y308" s="23">
        <v>1198</v>
      </c>
      <c r="Z308" s="23">
        <v>3664</v>
      </c>
      <c r="AA308" s="24">
        <v>0.32696506550218302</v>
      </c>
      <c r="AB308" s="14" t="str">
        <f>VLOOKUP(flu_aw24[[#This Row],[trust_code]],trust_lookup[],3,0)</f>
        <v>Homerton</v>
      </c>
      <c r="AD308" s="43">
        <v>46041</v>
      </c>
      <c r="AE308" s="2">
        <v>4</v>
      </c>
      <c r="AF308" s="2" t="s">
        <v>518</v>
      </c>
      <c r="AG308" s="2" t="s">
        <v>142</v>
      </c>
      <c r="AH308" s="2" t="s">
        <v>143</v>
      </c>
      <c r="AI308" s="2" t="s">
        <v>190</v>
      </c>
      <c r="AJ308" s="23">
        <v>3</v>
      </c>
      <c r="AK308" s="23">
        <v>1952</v>
      </c>
      <c r="AL308" s="23">
        <v>6076</v>
      </c>
      <c r="AM308" s="24">
        <v>0.321263989466754</v>
      </c>
      <c r="AN308" s="44" t="str">
        <f>VLOOKUP(flu_aw25[[#This Row],[trust_code]],trust_lookup[],3,0)</f>
        <v>NELFT</v>
      </c>
      <c r="AW308" s="2" t="s">
        <v>187</v>
      </c>
      <c r="AX308" s="2" t="s">
        <v>188</v>
      </c>
      <c r="AY308" s="2" t="s">
        <v>654</v>
      </c>
      <c r="AZ308" s="2">
        <v>479</v>
      </c>
      <c r="BA308" s="2">
        <v>142</v>
      </c>
      <c r="BB308" s="44" t="str">
        <f>VLOOKUP(age_group[[#This Row],[trust_code]],trust_lookup[],3,0)</f>
        <v>West London</v>
      </c>
    </row>
    <row r="309" spans="1:54" x14ac:dyDescent="0.35">
      <c r="A309" s="2" t="s">
        <v>519</v>
      </c>
      <c r="B309" s="2" t="s">
        <v>161</v>
      </c>
      <c r="C309" s="2" t="s">
        <v>162</v>
      </c>
      <c r="D309" s="2" t="s">
        <v>27</v>
      </c>
      <c r="E309" s="2" t="s">
        <v>53</v>
      </c>
      <c r="F309" s="2">
        <v>403</v>
      </c>
      <c r="G309" s="2">
        <v>114</v>
      </c>
      <c r="H309" s="14" t="str">
        <f>VLOOKUP(flu_group[[#This Row],[trust_code]],trust_lookup[],3,0)</f>
        <v>RNOH</v>
      </c>
      <c r="I309" s="14" t="str">
        <f>VLOOKUP(flu_group[[#This Row],[trust_code]],trust_lookup[],4,0)</f>
        <v>Specialist</v>
      </c>
      <c r="K309" s="2" t="s">
        <v>518</v>
      </c>
      <c r="L309" s="2" t="s">
        <v>130</v>
      </c>
      <c r="M309" s="2" t="s">
        <v>131</v>
      </c>
      <c r="N309" s="2" t="s">
        <v>192</v>
      </c>
      <c r="O309" s="2" t="s">
        <v>135</v>
      </c>
      <c r="P309" s="2">
        <v>36</v>
      </c>
      <c r="R309" s="43">
        <v>45726</v>
      </c>
      <c r="S309" s="2">
        <v>11</v>
      </c>
      <c r="T309" s="2" t="s">
        <v>519</v>
      </c>
      <c r="U309" s="2" t="s">
        <v>95</v>
      </c>
      <c r="V309" s="2" t="s">
        <v>96</v>
      </c>
      <c r="W309" s="2" t="s">
        <v>190</v>
      </c>
      <c r="X309" s="23">
        <v>1</v>
      </c>
      <c r="Y309" s="23">
        <v>1199</v>
      </c>
      <c r="Z309" s="23">
        <v>3664</v>
      </c>
      <c r="AA309" s="24">
        <v>0.32723799126637498</v>
      </c>
      <c r="AB309" s="14" t="str">
        <f>VLOOKUP(flu_aw24[[#This Row],[trust_code]],trust_lookup[],3,0)</f>
        <v>Homerton</v>
      </c>
      <c r="AD309" s="43">
        <v>46048</v>
      </c>
      <c r="AE309" s="2">
        <v>5</v>
      </c>
      <c r="AF309" s="2" t="s">
        <v>518</v>
      </c>
      <c r="AG309" s="2" t="s">
        <v>142</v>
      </c>
      <c r="AH309" s="2" t="s">
        <v>143</v>
      </c>
      <c r="AI309" s="2" t="s">
        <v>190</v>
      </c>
      <c r="AJ309" s="23">
        <v>12</v>
      </c>
      <c r="AK309" s="23">
        <v>1964</v>
      </c>
      <c r="AL309" s="23">
        <v>6076</v>
      </c>
      <c r="AM309" s="24">
        <v>0.32323897300855797</v>
      </c>
      <c r="AN309" s="44" t="str">
        <f>VLOOKUP(flu_aw25[[#This Row],[trust_code]],trust_lookup[],3,0)</f>
        <v>NELFT</v>
      </c>
      <c r="AW309" s="2" t="s">
        <v>187</v>
      </c>
      <c r="AX309" s="2" t="s">
        <v>188</v>
      </c>
      <c r="AY309" s="2" t="s">
        <v>655</v>
      </c>
      <c r="AZ309" s="2">
        <v>508</v>
      </c>
      <c r="BA309" s="2">
        <v>185</v>
      </c>
      <c r="BB309" s="44" t="str">
        <f>VLOOKUP(age_group[[#This Row],[trust_code]],trust_lookup[],3,0)</f>
        <v>West London</v>
      </c>
    </row>
    <row r="310" spans="1:54" x14ac:dyDescent="0.35">
      <c r="A310" s="2" t="s">
        <v>519</v>
      </c>
      <c r="B310" s="2" t="s">
        <v>173</v>
      </c>
      <c r="C310" s="2" t="s">
        <v>174</v>
      </c>
      <c r="D310" s="2" t="s">
        <v>27</v>
      </c>
      <c r="E310" s="2" t="s">
        <v>67</v>
      </c>
      <c r="F310" s="2">
        <v>210</v>
      </c>
      <c r="G310" s="2">
        <v>63</v>
      </c>
      <c r="H310" s="14" t="str">
        <f>VLOOKUP(flu_group[[#This Row],[trust_code]],trust_lookup[],3,0)</f>
        <v>T&amp;P</v>
      </c>
      <c r="I310" s="14" t="str">
        <f>VLOOKUP(flu_group[[#This Row],[trust_code]],trust_lookup[],4,0)</f>
        <v>Mental Health</v>
      </c>
      <c r="K310" s="2" t="s">
        <v>518</v>
      </c>
      <c r="L310" s="2" t="s">
        <v>130</v>
      </c>
      <c r="M310" s="2" t="s">
        <v>131</v>
      </c>
      <c r="N310" s="2" t="s">
        <v>192</v>
      </c>
      <c r="O310" s="2" t="s">
        <v>54</v>
      </c>
      <c r="P310" s="2">
        <v>121</v>
      </c>
      <c r="R310" s="43">
        <v>45733</v>
      </c>
      <c r="S310" s="2">
        <v>12</v>
      </c>
      <c r="T310" s="2" t="s">
        <v>519</v>
      </c>
      <c r="U310" s="2" t="s">
        <v>95</v>
      </c>
      <c r="V310" s="2" t="s">
        <v>96</v>
      </c>
      <c r="W310" s="2" t="s">
        <v>190</v>
      </c>
      <c r="X310" s="23">
        <v>1</v>
      </c>
      <c r="Y310" s="23">
        <v>1200</v>
      </c>
      <c r="Z310" s="23">
        <v>3664</v>
      </c>
      <c r="AA310" s="24">
        <v>0.32751091703056701</v>
      </c>
      <c r="AB310" s="14" t="str">
        <f>VLOOKUP(flu_aw24[[#This Row],[trust_code]],trust_lookup[],3,0)</f>
        <v>Homerton</v>
      </c>
      <c r="AD310" s="43">
        <v>46055</v>
      </c>
      <c r="AE310" s="2">
        <v>6</v>
      </c>
      <c r="AF310" s="2" t="s">
        <v>518</v>
      </c>
      <c r="AG310" s="2" t="s">
        <v>142</v>
      </c>
      <c r="AH310" s="2" t="s">
        <v>143</v>
      </c>
      <c r="AI310" s="2" t="s">
        <v>190</v>
      </c>
      <c r="AJ310" s="23">
        <v>2</v>
      </c>
      <c r="AK310" s="23">
        <v>1966</v>
      </c>
      <c r="AL310" s="23">
        <v>6076</v>
      </c>
      <c r="AM310" s="24">
        <v>0.323568136932192</v>
      </c>
      <c r="AN310" s="44" t="str">
        <f>VLOOKUP(flu_aw25[[#This Row],[trust_code]],trust_lookup[],3,0)</f>
        <v>NELFT</v>
      </c>
      <c r="AW310" s="2" t="s">
        <v>187</v>
      </c>
      <c r="AX310" s="2" t="s">
        <v>188</v>
      </c>
      <c r="AY310" s="2" t="s">
        <v>656</v>
      </c>
      <c r="AZ310" s="2">
        <v>525</v>
      </c>
      <c r="BA310" s="2">
        <v>192</v>
      </c>
      <c r="BB310" s="44" t="str">
        <f>VLOOKUP(age_group[[#This Row],[trust_code]],trust_lookup[],3,0)</f>
        <v>West London</v>
      </c>
    </row>
    <row r="311" spans="1:54" x14ac:dyDescent="0.35">
      <c r="A311" s="2" t="s">
        <v>519</v>
      </c>
      <c r="B311" s="2" t="s">
        <v>173</v>
      </c>
      <c r="C311" s="2" t="s">
        <v>174</v>
      </c>
      <c r="D311" s="2" t="s">
        <v>27</v>
      </c>
      <c r="E311" s="2" t="s">
        <v>81</v>
      </c>
      <c r="F311" s="2">
        <v>45</v>
      </c>
      <c r="G311" s="2">
        <v>1</v>
      </c>
      <c r="H311" s="14" t="str">
        <f>VLOOKUP(flu_group[[#This Row],[trust_code]],trust_lookup[],3,0)</f>
        <v>T&amp;P</v>
      </c>
      <c r="I311" s="14" t="str">
        <f>VLOOKUP(flu_group[[#This Row],[trust_code]],trust_lookup[],4,0)</f>
        <v>Mental Health</v>
      </c>
      <c r="K311" s="2" t="s">
        <v>518</v>
      </c>
      <c r="L311" s="2" t="s">
        <v>130</v>
      </c>
      <c r="M311" s="2" t="s">
        <v>131</v>
      </c>
      <c r="N311" s="2" t="s">
        <v>192</v>
      </c>
      <c r="O311" s="2" t="s">
        <v>129</v>
      </c>
      <c r="P311" s="2">
        <v>2</v>
      </c>
      <c r="R311" s="43">
        <v>45537</v>
      </c>
      <c r="S311" s="2">
        <v>36</v>
      </c>
      <c r="T311" s="2" t="s">
        <v>519</v>
      </c>
      <c r="U311" s="2" t="s">
        <v>101</v>
      </c>
      <c r="V311" s="2" t="s">
        <v>102</v>
      </c>
      <c r="W311" s="2" t="s">
        <v>192</v>
      </c>
      <c r="X311" s="23">
        <v>2</v>
      </c>
      <c r="Y311" s="23">
        <v>2</v>
      </c>
      <c r="Z311" s="23">
        <v>11552</v>
      </c>
      <c r="AA311" s="24">
        <v>1.7313019390581701E-4</v>
      </c>
      <c r="AB311" s="14" t="str">
        <f>VLOOKUP(flu_aw24[[#This Row],[trust_code]],trust_lookup[],3,0)</f>
        <v>Imperial</v>
      </c>
      <c r="AD311" s="43">
        <v>46062</v>
      </c>
      <c r="AE311" s="2">
        <v>7</v>
      </c>
      <c r="AF311" s="2" t="s">
        <v>518</v>
      </c>
      <c r="AG311" s="2" t="s">
        <v>142</v>
      </c>
      <c r="AH311" s="2" t="s">
        <v>143</v>
      </c>
      <c r="AI311" s="2" t="s">
        <v>190</v>
      </c>
      <c r="AJ311" s="23">
        <v>5</v>
      </c>
      <c r="AK311" s="23">
        <v>1971</v>
      </c>
      <c r="AL311" s="23">
        <v>6076</v>
      </c>
      <c r="AM311" s="24">
        <v>0.324391046741277</v>
      </c>
      <c r="AN311" s="44" t="str">
        <f>VLOOKUP(flu_aw25[[#This Row],[trust_code]],trust_lookup[],3,0)</f>
        <v>NELFT</v>
      </c>
      <c r="AW311" s="2" t="s">
        <v>187</v>
      </c>
      <c r="AX311" s="2" t="s">
        <v>188</v>
      </c>
      <c r="AY311" s="2" t="s">
        <v>657</v>
      </c>
      <c r="AZ311" s="2">
        <v>514</v>
      </c>
      <c r="BA311" s="2">
        <v>225</v>
      </c>
      <c r="BB311" s="44" t="str">
        <f>VLOOKUP(age_group[[#This Row],[trust_code]],trust_lookup[],3,0)</f>
        <v>West London</v>
      </c>
    </row>
    <row r="312" spans="1:54" x14ac:dyDescent="0.35">
      <c r="A312" s="2" t="s">
        <v>519</v>
      </c>
      <c r="B312" s="2" t="s">
        <v>173</v>
      </c>
      <c r="C312" s="2" t="s">
        <v>174</v>
      </c>
      <c r="D312" s="2" t="s">
        <v>27</v>
      </c>
      <c r="E312" s="2" t="s">
        <v>46</v>
      </c>
      <c r="F312" s="2">
        <v>29</v>
      </c>
      <c r="G312" s="2">
        <v>6</v>
      </c>
      <c r="H312" s="14" t="str">
        <f>VLOOKUP(flu_group[[#This Row],[trust_code]],trust_lookup[],3,0)</f>
        <v>T&amp;P</v>
      </c>
      <c r="I312" s="14" t="str">
        <f>VLOOKUP(flu_group[[#This Row],[trust_code]],trust_lookup[],4,0)</f>
        <v>Mental Health</v>
      </c>
      <c r="K312" s="2" t="s">
        <v>518</v>
      </c>
      <c r="L312" s="2" t="s">
        <v>130</v>
      </c>
      <c r="M312" s="2" t="s">
        <v>131</v>
      </c>
      <c r="N312" s="2" t="s">
        <v>192</v>
      </c>
      <c r="O312" s="2" t="s">
        <v>47</v>
      </c>
      <c r="P312" s="2">
        <v>14</v>
      </c>
      <c r="R312" s="43">
        <v>45544</v>
      </c>
      <c r="S312" s="2">
        <v>37</v>
      </c>
      <c r="T312" s="2" t="s">
        <v>519</v>
      </c>
      <c r="U312" s="2" t="s">
        <v>101</v>
      </c>
      <c r="V312" s="2" t="s">
        <v>102</v>
      </c>
      <c r="W312" s="2" t="s">
        <v>192</v>
      </c>
      <c r="X312" s="23">
        <v>5</v>
      </c>
      <c r="Y312" s="23">
        <v>7</v>
      </c>
      <c r="Z312" s="23">
        <v>11552</v>
      </c>
      <c r="AA312" s="24">
        <v>6.0595567867035996E-4</v>
      </c>
      <c r="AB312" s="14" t="str">
        <f>VLOOKUP(flu_aw24[[#This Row],[trust_code]],trust_lookup[],3,0)</f>
        <v>Imperial</v>
      </c>
      <c r="AD312" s="43">
        <v>46069</v>
      </c>
      <c r="AE312" s="2">
        <v>8</v>
      </c>
      <c r="AF312" s="2" t="s">
        <v>518</v>
      </c>
      <c r="AG312" s="2" t="s">
        <v>142</v>
      </c>
      <c r="AH312" s="2" t="s">
        <v>143</v>
      </c>
      <c r="AI312" s="2" t="s">
        <v>190</v>
      </c>
      <c r="AJ312" s="23">
        <v>8</v>
      </c>
      <c r="AK312" s="23">
        <v>1979</v>
      </c>
      <c r="AL312" s="23">
        <v>6076</v>
      </c>
      <c r="AM312" s="24">
        <v>0.32570770243581298</v>
      </c>
      <c r="AN312" s="44" t="str">
        <f>VLOOKUP(flu_aw25[[#This Row],[trust_code]],trust_lookup[],3,0)</f>
        <v>NELFT</v>
      </c>
      <c r="AW312" s="2" t="s">
        <v>187</v>
      </c>
      <c r="AX312" s="2" t="s">
        <v>188</v>
      </c>
      <c r="AY312" s="2" t="s">
        <v>658</v>
      </c>
      <c r="AZ312" s="2">
        <v>343</v>
      </c>
      <c r="BA312" s="2">
        <v>170</v>
      </c>
      <c r="BB312" s="44" t="str">
        <f>VLOOKUP(age_group[[#This Row],[trust_code]],trust_lookup[],3,0)</f>
        <v>West London</v>
      </c>
    </row>
    <row r="313" spans="1:54" x14ac:dyDescent="0.35">
      <c r="A313" s="2" t="s">
        <v>519</v>
      </c>
      <c r="B313" s="2" t="s">
        <v>173</v>
      </c>
      <c r="C313" s="2" t="s">
        <v>174</v>
      </c>
      <c r="D313" s="2" t="s">
        <v>27</v>
      </c>
      <c r="E313" s="2" t="s">
        <v>60</v>
      </c>
      <c r="F313" s="2">
        <v>8</v>
      </c>
      <c r="G313" s="2">
        <v>3</v>
      </c>
      <c r="H313" s="14" t="str">
        <f>VLOOKUP(flu_group[[#This Row],[trust_code]],trust_lookup[],3,0)</f>
        <v>T&amp;P</v>
      </c>
      <c r="I313" s="14" t="str">
        <f>VLOOKUP(flu_group[[#This Row],[trust_code]],trust_lookup[],4,0)</f>
        <v>Mental Health</v>
      </c>
      <c r="K313" s="2" t="s">
        <v>518</v>
      </c>
      <c r="L313" s="2" t="s">
        <v>130</v>
      </c>
      <c r="M313" s="2" t="s">
        <v>131</v>
      </c>
      <c r="N313" s="2" t="s">
        <v>192</v>
      </c>
      <c r="O313" s="2" t="s">
        <v>94</v>
      </c>
      <c r="P313" s="2">
        <v>9</v>
      </c>
      <c r="R313" s="43">
        <v>45551</v>
      </c>
      <c r="S313" s="2">
        <v>38</v>
      </c>
      <c r="T313" s="2" t="s">
        <v>519</v>
      </c>
      <c r="U313" s="2" t="s">
        <v>101</v>
      </c>
      <c r="V313" s="2" t="s">
        <v>102</v>
      </c>
      <c r="W313" s="2" t="s">
        <v>192</v>
      </c>
      <c r="X313" s="23">
        <v>22</v>
      </c>
      <c r="Y313" s="23">
        <v>29</v>
      </c>
      <c r="Z313" s="23">
        <v>11552</v>
      </c>
      <c r="AA313" s="24">
        <v>2.5103878116343398E-3</v>
      </c>
      <c r="AB313" s="14" t="str">
        <f>VLOOKUP(flu_aw24[[#This Row],[trust_code]],trust_lookup[],3,0)</f>
        <v>Imperial</v>
      </c>
      <c r="AD313" s="43">
        <v>46076</v>
      </c>
      <c r="AE313" s="2">
        <v>9</v>
      </c>
      <c r="AF313" s="2" t="s">
        <v>518</v>
      </c>
      <c r="AG313" s="2" t="s">
        <v>142</v>
      </c>
      <c r="AH313" s="2" t="s">
        <v>143</v>
      </c>
      <c r="AI313" s="2" t="s">
        <v>190</v>
      </c>
      <c r="AJ313" s="23">
        <v>8</v>
      </c>
      <c r="AK313" s="23">
        <v>1987</v>
      </c>
      <c r="AL313" s="23">
        <v>6076</v>
      </c>
      <c r="AM313" s="24">
        <v>0.32702435813034803</v>
      </c>
      <c r="AN313" s="44" t="str">
        <f>VLOOKUP(flu_aw25[[#This Row],[trust_code]],trust_lookup[],3,0)</f>
        <v>NELFT</v>
      </c>
      <c r="AW313" s="2" t="s">
        <v>187</v>
      </c>
      <c r="AX313" s="2" t="s">
        <v>188</v>
      </c>
      <c r="AY313" s="2" t="s">
        <v>659</v>
      </c>
      <c r="AZ313" s="2">
        <v>208</v>
      </c>
      <c r="BA313" s="2">
        <v>129</v>
      </c>
      <c r="BB313" s="44" t="str">
        <f>VLOOKUP(age_group[[#This Row],[trust_code]],trust_lookup[],3,0)</f>
        <v>West London</v>
      </c>
    </row>
    <row r="314" spans="1:54" x14ac:dyDescent="0.35">
      <c r="A314" s="2" t="s">
        <v>519</v>
      </c>
      <c r="B314" s="2" t="s">
        <v>173</v>
      </c>
      <c r="C314" s="2" t="s">
        <v>174</v>
      </c>
      <c r="D314" s="2" t="s">
        <v>27</v>
      </c>
      <c r="E314" s="2" t="s">
        <v>28</v>
      </c>
      <c r="F314" s="2">
        <v>6</v>
      </c>
      <c r="G314" s="2">
        <v>2</v>
      </c>
      <c r="H314" s="14" t="str">
        <f>VLOOKUP(flu_group[[#This Row],[trust_code]],trust_lookup[],3,0)</f>
        <v>T&amp;P</v>
      </c>
      <c r="I314" s="14" t="str">
        <f>VLOOKUP(flu_group[[#This Row],[trust_code]],trust_lookup[],4,0)</f>
        <v>Mental Health</v>
      </c>
      <c r="K314" s="2" t="s">
        <v>518</v>
      </c>
      <c r="L314" s="2" t="s">
        <v>130</v>
      </c>
      <c r="M314" s="2" t="s">
        <v>131</v>
      </c>
      <c r="N314" s="2" t="s">
        <v>192</v>
      </c>
      <c r="O314" s="2" t="s">
        <v>29</v>
      </c>
      <c r="P314" s="2">
        <v>19</v>
      </c>
      <c r="R314" s="43">
        <v>45558</v>
      </c>
      <c r="S314" s="2">
        <v>39</v>
      </c>
      <c r="T314" s="2" t="s">
        <v>519</v>
      </c>
      <c r="U314" s="2" t="s">
        <v>101</v>
      </c>
      <c r="V314" s="2" t="s">
        <v>102</v>
      </c>
      <c r="W314" s="2" t="s">
        <v>192</v>
      </c>
      <c r="X314" s="23">
        <v>50</v>
      </c>
      <c r="Y314" s="23">
        <v>79</v>
      </c>
      <c r="Z314" s="23">
        <v>11552</v>
      </c>
      <c r="AA314" s="24">
        <v>6.8386426592797703E-3</v>
      </c>
      <c r="AB314" s="14" t="str">
        <f>VLOOKUP(flu_aw24[[#This Row],[trust_code]],trust_lookup[],3,0)</f>
        <v>Imperial</v>
      </c>
      <c r="AD314" s="43">
        <v>45915</v>
      </c>
      <c r="AE314" s="2">
        <v>38</v>
      </c>
      <c r="AF314" s="2" t="s">
        <v>518</v>
      </c>
      <c r="AG314" s="2" t="s">
        <v>136</v>
      </c>
      <c r="AH314" s="2" t="s">
        <v>137</v>
      </c>
      <c r="AI314" s="2" t="s">
        <v>27</v>
      </c>
      <c r="AJ314" s="23">
        <v>1</v>
      </c>
      <c r="AK314" s="23">
        <v>1</v>
      </c>
      <c r="AL314" s="23">
        <v>1794</v>
      </c>
      <c r="AM314" s="24">
        <v>5.5741360089186099E-4</v>
      </c>
      <c r="AN314" s="44" t="str">
        <f>VLOOKUP(flu_aw25[[#This Row],[trust_code]],trust_lookup[],3,0)</f>
        <v>Moorfields</v>
      </c>
      <c r="AW314" s="2" t="s">
        <v>185</v>
      </c>
      <c r="AX314" s="2" t="s">
        <v>186</v>
      </c>
      <c r="AY314" s="2" t="s">
        <v>650</v>
      </c>
      <c r="AZ314" s="2">
        <v>109</v>
      </c>
      <c r="BA314" s="2">
        <v>26</v>
      </c>
      <c r="BB314" s="44" t="str">
        <f>VLOOKUP(age_group[[#This Row],[trust_code]],trust_lookup[],3,0)</f>
        <v>Whittington</v>
      </c>
    </row>
    <row r="315" spans="1:54" x14ac:dyDescent="0.35">
      <c r="A315" s="2" t="s">
        <v>519</v>
      </c>
      <c r="B315" s="2" t="s">
        <v>173</v>
      </c>
      <c r="C315" s="2" t="s">
        <v>174</v>
      </c>
      <c r="D315" s="2" t="s">
        <v>27</v>
      </c>
      <c r="E315" s="2" t="s">
        <v>42</v>
      </c>
      <c r="F315" s="2">
        <v>54</v>
      </c>
      <c r="G315" s="2">
        <v>26</v>
      </c>
      <c r="H315" s="14" t="str">
        <f>VLOOKUP(flu_group[[#This Row],[trust_code]],trust_lookup[],3,0)</f>
        <v>T&amp;P</v>
      </c>
      <c r="I315" s="14" t="str">
        <f>VLOOKUP(flu_group[[#This Row],[trust_code]],trust_lookup[],4,0)</f>
        <v>Mental Health</v>
      </c>
      <c r="K315" s="2" t="s">
        <v>518</v>
      </c>
      <c r="L315" s="2" t="s">
        <v>130</v>
      </c>
      <c r="M315" s="2" t="s">
        <v>131</v>
      </c>
      <c r="N315" s="2" t="s">
        <v>192</v>
      </c>
      <c r="O315" s="2" t="s">
        <v>123</v>
      </c>
      <c r="P315" s="2">
        <v>365</v>
      </c>
      <c r="R315" s="43">
        <v>45565</v>
      </c>
      <c r="S315" s="2">
        <v>40</v>
      </c>
      <c r="T315" s="2" t="s">
        <v>519</v>
      </c>
      <c r="U315" s="2" t="s">
        <v>101</v>
      </c>
      <c r="V315" s="2" t="s">
        <v>102</v>
      </c>
      <c r="W315" s="2" t="s">
        <v>192</v>
      </c>
      <c r="X315" s="23">
        <v>287</v>
      </c>
      <c r="Y315" s="23">
        <v>366</v>
      </c>
      <c r="Z315" s="23">
        <v>11552</v>
      </c>
      <c r="AA315" s="24">
        <v>3.1682825484764497E-2</v>
      </c>
      <c r="AB315" s="14" t="str">
        <f>VLOOKUP(flu_aw24[[#This Row],[trust_code]],trust_lookup[],3,0)</f>
        <v>Imperial</v>
      </c>
      <c r="AD315" s="43">
        <v>45929</v>
      </c>
      <c r="AE315" s="2">
        <v>40</v>
      </c>
      <c r="AF315" s="2" t="s">
        <v>518</v>
      </c>
      <c r="AG315" s="2" t="s">
        <v>136</v>
      </c>
      <c r="AH315" s="2" t="s">
        <v>137</v>
      </c>
      <c r="AI315" s="2" t="s">
        <v>27</v>
      </c>
      <c r="AJ315" s="23">
        <v>94</v>
      </c>
      <c r="AK315" s="23">
        <v>95</v>
      </c>
      <c r="AL315" s="23">
        <v>1794</v>
      </c>
      <c r="AM315" s="24">
        <v>5.2954292084726802E-2</v>
      </c>
      <c r="AN315" s="44" t="str">
        <f>VLOOKUP(flu_aw25[[#This Row],[trust_code]],trust_lookup[],3,0)</f>
        <v>Moorfields</v>
      </c>
      <c r="AW315" s="2" t="s">
        <v>185</v>
      </c>
      <c r="AX315" s="2" t="s">
        <v>186</v>
      </c>
      <c r="AY315" s="2" t="s">
        <v>651</v>
      </c>
      <c r="AZ315" s="2">
        <v>327</v>
      </c>
      <c r="BA315" s="2">
        <v>97</v>
      </c>
      <c r="BB315" s="44" t="str">
        <f>VLOOKUP(age_group[[#This Row],[trust_code]],trust_lookup[],3,0)</f>
        <v>Whittington</v>
      </c>
    </row>
    <row r="316" spans="1:54" x14ac:dyDescent="0.35">
      <c r="A316" s="2" t="s">
        <v>519</v>
      </c>
      <c r="B316" s="2" t="s">
        <v>173</v>
      </c>
      <c r="C316" s="2" t="s">
        <v>174</v>
      </c>
      <c r="D316" s="2" t="s">
        <v>27</v>
      </c>
      <c r="E316" s="2" t="s">
        <v>53</v>
      </c>
      <c r="F316" s="2">
        <v>18</v>
      </c>
      <c r="G316" s="2">
        <v>4</v>
      </c>
      <c r="H316" s="14" t="str">
        <f>VLOOKUP(flu_group[[#This Row],[trust_code]],trust_lookup[],3,0)</f>
        <v>T&amp;P</v>
      </c>
      <c r="I316" s="14" t="str">
        <f>VLOOKUP(flu_group[[#This Row],[trust_code]],trust_lookup[],4,0)</f>
        <v>Mental Health</v>
      </c>
      <c r="K316" s="2" t="s">
        <v>518</v>
      </c>
      <c r="L316" s="2" t="s">
        <v>130</v>
      </c>
      <c r="M316" s="2" t="s">
        <v>131</v>
      </c>
      <c r="N316" s="2" t="s">
        <v>192</v>
      </c>
      <c r="O316" s="2" t="s">
        <v>82</v>
      </c>
      <c r="P316" s="2">
        <v>43</v>
      </c>
      <c r="R316" s="43">
        <v>45572</v>
      </c>
      <c r="S316" s="2">
        <v>41</v>
      </c>
      <c r="T316" s="2" t="s">
        <v>519</v>
      </c>
      <c r="U316" s="2" t="s">
        <v>101</v>
      </c>
      <c r="V316" s="2" t="s">
        <v>102</v>
      </c>
      <c r="W316" s="2" t="s">
        <v>192</v>
      </c>
      <c r="X316" s="23">
        <v>464</v>
      </c>
      <c r="Y316" s="23">
        <v>830</v>
      </c>
      <c r="Z316" s="23">
        <v>11552</v>
      </c>
      <c r="AA316" s="24">
        <v>7.1849030470914094E-2</v>
      </c>
      <c r="AB316" s="14" t="str">
        <f>VLOOKUP(flu_aw24[[#This Row],[trust_code]],trust_lookup[],3,0)</f>
        <v>Imperial</v>
      </c>
      <c r="AD316" s="43">
        <v>45936</v>
      </c>
      <c r="AE316" s="2">
        <v>41</v>
      </c>
      <c r="AF316" s="2" t="s">
        <v>518</v>
      </c>
      <c r="AG316" s="2" t="s">
        <v>136</v>
      </c>
      <c r="AH316" s="2" t="s">
        <v>137</v>
      </c>
      <c r="AI316" s="2" t="s">
        <v>27</v>
      </c>
      <c r="AJ316" s="23">
        <v>152</v>
      </c>
      <c r="AK316" s="23">
        <v>247</v>
      </c>
      <c r="AL316" s="23">
        <v>1794</v>
      </c>
      <c r="AM316" s="24">
        <v>0.137681159420289</v>
      </c>
      <c r="AN316" s="44" t="str">
        <f>VLOOKUP(flu_aw25[[#This Row],[trust_code]],trust_lookup[],3,0)</f>
        <v>Moorfields</v>
      </c>
      <c r="AW316" s="2" t="s">
        <v>185</v>
      </c>
      <c r="AX316" s="2" t="s">
        <v>186</v>
      </c>
      <c r="AY316" s="2" t="s">
        <v>652</v>
      </c>
      <c r="AZ316" s="2">
        <v>405</v>
      </c>
      <c r="BA316" s="2">
        <v>141</v>
      </c>
      <c r="BB316" s="44" t="str">
        <f>VLOOKUP(age_group[[#This Row],[trust_code]],trust_lookup[],3,0)</f>
        <v>Whittington</v>
      </c>
    </row>
    <row r="317" spans="1:54" x14ac:dyDescent="0.35">
      <c r="A317" s="2" t="s">
        <v>519</v>
      </c>
      <c r="B317" s="2" t="s">
        <v>173</v>
      </c>
      <c r="C317" s="2" t="s">
        <v>174</v>
      </c>
      <c r="D317" s="2" t="s">
        <v>27</v>
      </c>
      <c r="E317" s="2" t="s">
        <v>35</v>
      </c>
      <c r="F317" s="2">
        <v>34</v>
      </c>
      <c r="G317" s="2">
        <v>7</v>
      </c>
      <c r="H317" s="14" t="str">
        <f>VLOOKUP(flu_group[[#This Row],[trust_code]],trust_lookup[],3,0)</f>
        <v>T&amp;P</v>
      </c>
      <c r="I317" s="14" t="str">
        <f>VLOOKUP(flu_group[[#This Row],[trust_code]],trust_lookup[],4,0)</f>
        <v>Mental Health</v>
      </c>
      <c r="K317" s="2" t="s">
        <v>518</v>
      </c>
      <c r="L317" s="2" t="s">
        <v>130</v>
      </c>
      <c r="M317" s="2" t="s">
        <v>131</v>
      </c>
      <c r="N317" s="2" t="s">
        <v>192</v>
      </c>
      <c r="O317" s="2" t="s">
        <v>88</v>
      </c>
      <c r="P317" s="2">
        <v>9</v>
      </c>
      <c r="R317" s="43">
        <v>45579</v>
      </c>
      <c r="S317" s="2">
        <v>42</v>
      </c>
      <c r="T317" s="2" t="s">
        <v>519</v>
      </c>
      <c r="U317" s="2" t="s">
        <v>101</v>
      </c>
      <c r="V317" s="2" t="s">
        <v>102</v>
      </c>
      <c r="W317" s="2" t="s">
        <v>192</v>
      </c>
      <c r="X317" s="23">
        <v>561</v>
      </c>
      <c r="Y317" s="23">
        <v>1391</v>
      </c>
      <c r="Z317" s="23">
        <v>11552</v>
      </c>
      <c r="AA317" s="24">
        <v>0.12041204986149499</v>
      </c>
      <c r="AB317" s="14" t="str">
        <f>VLOOKUP(flu_aw24[[#This Row],[trust_code]],trust_lookup[],3,0)</f>
        <v>Imperial</v>
      </c>
      <c r="AD317" s="43">
        <v>45943</v>
      </c>
      <c r="AE317" s="2">
        <v>42</v>
      </c>
      <c r="AF317" s="2" t="s">
        <v>518</v>
      </c>
      <c r="AG317" s="2" t="s">
        <v>136</v>
      </c>
      <c r="AH317" s="2" t="s">
        <v>137</v>
      </c>
      <c r="AI317" s="2" t="s">
        <v>27</v>
      </c>
      <c r="AJ317" s="23">
        <v>178</v>
      </c>
      <c r="AK317" s="23">
        <v>425</v>
      </c>
      <c r="AL317" s="23">
        <v>1794</v>
      </c>
      <c r="AM317" s="24">
        <v>0.236900780379041</v>
      </c>
      <c r="AN317" s="44" t="str">
        <f>VLOOKUP(flu_aw25[[#This Row],[trust_code]],trust_lookup[],3,0)</f>
        <v>Moorfields</v>
      </c>
      <c r="AW317" s="2" t="s">
        <v>185</v>
      </c>
      <c r="AX317" s="2" t="s">
        <v>186</v>
      </c>
      <c r="AY317" s="2" t="s">
        <v>653</v>
      </c>
      <c r="AZ317" s="2">
        <v>442</v>
      </c>
      <c r="BA317" s="2">
        <v>178</v>
      </c>
      <c r="BB317" s="44" t="str">
        <f>VLOOKUP(age_group[[#This Row],[trust_code]],trust_lookup[],3,0)</f>
        <v>Whittington</v>
      </c>
    </row>
    <row r="318" spans="1:54" x14ac:dyDescent="0.35">
      <c r="A318" s="2" t="s">
        <v>519</v>
      </c>
      <c r="B318" s="2" t="s">
        <v>182</v>
      </c>
      <c r="C318" s="2" t="s">
        <v>183</v>
      </c>
      <c r="D318" s="2" t="s">
        <v>27</v>
      </c>
      <c r="E318" s="2" t="s">
        <v>67</v>
      </c>
      <c r="F318" s="2">
        <v>412</v>
      </c>
      <c r="G318" s="2">
        <v>161</v>
      </c>
      <c r="H318" s="14" t="str">
        <f>VLOOKUP(flu_group[[#This Row],[trust_code]],trust_lookup[],3,0)</f>
        <v>UCLH</v>
      </c>
      <c r="I318" s="14" t="str">
        <f>VLOOKUP(flu_group[[#This Row],[trust_code]],trust_lookup[],4,0)</f>
        <v>Acute</v>
      </c>
      <c r="K318" s="2" t="s">
        <v>518</v>
      </c>
      <c r="L318" s="2" t="s">
        <v>130</v>
      </c>
      <c r="M318" s="2" t="s">
        <v>131</v>
      </c>
      <c r="N318" s="2" t="s">
        <v>192</v>
      </c>
      <c r="O318" s="2" t="s">
        <v>141</v>
      </c>
      <c r="P318" s="2">
        <v>355</v>
      </c>
      <c r="R318" s="43">
        <v>45586</v>
      </c>
      <c r="S318" s="2">
        <v>43</v>
      </c>
      <c r="T318" s="2" t="s">
        <v>519</v>
      </c>
      <c r="U318" s="2" t="s">
        <v>101</v>
      </c>
      <c r="V318" s="2" t="s">
        <v>102</v>
      </c>
      <c r="W318" s="2" t="s">
        <v>192</v>
      </c>
      <c r="X318" s="23">
        <v>476</v>
      </c>
      <c r="Y318" s="23">
        <v>1867</v>
      </c>
      <c r="Z318" s="23">
        <v>11552</v>
      </c>
      <c r="AA318" s="24">
        <v>0.16161703601107999</v>
      </c>
      <c r="AB318" s="14" t="str">
        <f>VLOOKUP(flu_aw24[[#This Row],[trust_code]],trust_lookup[],3,0)</f>
        <v>Imperial</v>
      </c>
      <c r="AD318" s="43">
        <v>45950</v>
      </c>
      <c r="AE318" s="2">
        <v>43</v>
      </c>
      <c r="AF318" s="2" t="s">
        <v>518</v>
      </c>
      <c r="AG318" s="2" t="s">
        <v>136</v>
      </c>
      <c r="AH318" s="2" t="s">
        <v>137</v>
      </c>
      <c r="AI318" s="2" t="s">
        <v>27</v>
      </c>
      <c r="AJ318" s="23">
        <v>130</v>
      </c>
      <c r="AK318" s="23">
        <v>555</v>
      </c>
      <c r="AL318" s="23">
        <v>1794</v>
      </c>
      <c r="AM318" s="24">
        <v>0.30936454849498302</v>
      </c>
      <c r="AN318" s="44" t="str">
        <f>VLOOKUP(flu_aw25[[#This Row],[trust_code]],trust_lookup[],3,0)</f>
        <v>Moorfields</v>
      </c>
      <c r="AW318" s="2" t="s">
        <v>185</v>
      </c>
      <c r="AX318" s="2" t="s">
        <v>186</v>
      </c>
      <c r="AY318" s="2" t="s">
        <v>654</v>
      </c>
      <c r="AZ318" s="2">
        <v>369</v>
      </c>
      <c r="BA318" s="2">
        <v>154</v>
      </c>
      <c r="BB318" s="44" t="str">
        <f>VLOOKUP(age_group[[#This Row],[trust_code]],trust_lookup[],3,0)</f>
        <v>Whittington</v>
      </c>
    </row>
    <row r="319" spans="1:54" x14ac:dyDescent="0.35">
      <c r="A319" s="2" t="s">
        <v>519</v>
      </c>
      <c r="B319" s="2" t="s">
        <v>182</v>
      </c>
      <c r="C319" s="2" t="s">
        <v>183</v>
      </c>
      <c r="D319" s="2" t="s">
        <v>27</v>
      </c>
      <c r="E319" s="2" t="s">
        <v>81</v>
      </c>
      <c r="F319" s="2">
        <v>1097</v>
      </c>
      <c r="G319" s="2">
        <v>310</v>
      </c>
      <c r="H319" s="14" t="str">
        <f>VLOOKUP(flu_group[[#This Row],[trust_code]],trust_lookup[],3,0)</f>
        <v>UCLH</v>
      </c>
      <c r="I319" s="14" t="str">
        <f>VLOOKUP(flu_group[[#This Row],[trust_code]],trust_lookup[],4,0)</f>
        <v>Acute</v>
      </c>
      <c r="K319" s="2" t="s">
        <v>518</v>
      </c>
      <c r="L319" s="2" t="s">
        <v>130</v>
      </c>
      <c r="M319" s="2" t="s">
        <v>131</v>
      </c>
      <c r="N319" s="2" t="s">
        <v>192</v>
      </c>
      <c r="O319" s="2" t="s">
        <v>61</v>
      </c>
      <c r="P319" s="2">
        <v>27</v>
      </c>
      <c r="R319" s="43">
        <v>45593</v>
      </c>
      <c r="S319" s="2">
        <v>44</v>
      </c>
      <c r="T319" s="2" t="s">
        <v>519</v>
      </c>
      <c r="U319" s="2" t="s">
        <v>101</v>
      </c>
      <c r="V319" s="2" t="s">
        <v>102</v>
      </c>
      <c r="W319" s="2" t="s">
        <v>192</v>
      </c>
      <c r="X319" s="23">
        <v>412</v>
      </c>
      <c r="Y319" s="23">
        <v>2279</v>
      </c>
      <c r="Z319" s="23">
        <v>11552</v>
      </c>
      <c r="AA319" s="24">
        <v>0.19728185595567799</v>
      </c>
      <c r="AB319" s="14" t="str">
        <f>VLOOKUP(flu_aw24[[#This Row],[trust_code]],trust_lookup[],3,0)</f>
        <v>Imperial</v>
      </c>
      <c r="AD319" s="43">
        <v>45957</v>
      </c>
      <c r="AE319" s="2">
        <v>44</v>
      </c>
      <c r="AF319" s="2" t="s">
        <v>518</v>
      </c>
      <c r="AG319" s="2" t="s">
        <v>136</v>
      </c>
      <c r="AH319" s="2" t="s">
        <v>137</v>
      </c>
      <c r="AI319" s="2" t="s">
        <v>27</v>
      </c>
      <c r="AJ319" s="23">
        <v>87</v>
      </c>
      <c r="AK319" s="23">
        <v>642</v>
      </c>
      <c r="AL319" s="23">
        <v>1794</v>
      </c>
      <c r="AM319" s="24">
        <v>0.35785953177257501</v>
      </c>
      <c r="AN319" s="44" t="str">
        <f>VLOOKUP(flu_aw25[[#This Row],[trust_code]],trust_lookup[],3,0)</f>
        <v>Moorfields</v>
      </c>
      <c r="AW319" s="2" t="s">
        <v>185</v>
      </c>
      <c r="AX319" s="2" t="s">
        <v>186</v>
      </c>
      <c r="AY319" s="2" t="s">
        <v>655</v>
      </c>
      <c r="AZ319" s="2">
        <v>350</v>
      </c>
      <c r="BA319" s="2">
        <v>139</v>
      </c>
      <c r="BB319" s="44" t="str">
        <f>VLOOKUP(age_group[[#This Row],[trust_code]],trust_lookup[],3,0)</f>
        <v>Whittington</v>
      </c>
    </row>
    <row r="320" spans="1:54" x14ac:dyDescent="0.35">
      <c r="A320" s="2" t="s">
        <v>519</v>
      </c>
      <c r="B320" s="2" t="s">
        <v>182</v>
      </c>
      <c r="C320" s="2" t="s">
        <v>183</v>
      </c>
      <c r="D320" s="2" t="s">
        <v>27</v>
      </c>
      <c r="E320" s="2" t="s">
        <v>46</v>
      </c>
      <c r="F320" s="2">
        <v>22</v>
      </c>
      <c r="G320" s="2">
        <v>2</v>
      </c>
      <c r="H320" s="14" t="str">
        <f>VLOOKUP(flu_group[[#This Row],[trust_code]],trust_lookup[],3,0)</f>
        <v>UCLH</v>
      </c>
      <c r="I320" s="14" t="str">
        <f>VLOOKUP(flu_group[[#This Row],[trust_code]],trust_lookup[],4,0)</f>
        <v>Acute</v>
      </c>
      <c r="K320" s="2" t="s">
        <v>518</v>
      </c>
      <c r="L320" s="2" t="s">
        <v>130</v>
      </c>
      <c r="M320" s="2" t="s">
        <v>131</v>
      </c>
      <c r="N320" s="2" t="s">
        <v>192</v>
      </c>
      <c r="O320" s="2" t="s">
        <v>100</v>
      </c>
      <c r="P320" s="2">
        <v>126</v>
      </c>
      <c r="R320" s="43">
        <v>45600</v>
      </c>
      <c r="S320" s="2">
        <v>45</v>
      </c>
      <c r="T320" s="2" t="s">
        <v>519</v>
      </c>
      <c r="U320" s="2" t="s">
        <v>101</v>
      </c>
      <c r="V320" s="2" t="s">
        <v>102</v>
      </c>
      <c r="W320" s="2" t="s">
        <v>192</v>
      </c>
      <c r="X320" s="23">
        <v>229</v>
      </c>
      <c r="Y320" s="23">
        <v>2508</v>
      </c>
      <c r="Z320" s="23">
        <v>11552</v>
      </c>
      <c r="AA320" s="24">
        <v>0.217105263157894</v>
      </c>
      <c r="AB320" s="14" t="str">
        <f>VLOOKUP(flu_aw24[[#This Row],[trust_code]],trust_lookup[],3,0)</f>
        <v>Imperial</v>
      </c>
      <c r="AD320" s="43">
        <v>45964</v>
      </c>
      <c r="AE320" s="2">
        <v>45</v>
      </c>
      <c r="AF320" s="2" t="s">
        <v>518</v>
      </c>
      <c r="AG320" s="2" t="s">
        <v>136</v>
      </c>
      <c r="AH320" s="2" t="s">
        <v>137</v>
      </c>
      <c r="AI320" s="2" t="s">
        <v>27</v>
      </c>
      <c r="AJ320" s="23">
        <v>65</v>
      </c>
      <c r="AK320" s="23">
        <v>707</v>
      </c>
      <c r="AL320" s="23">
        <v>1794</v>
      </c>
      <c r="AM320" s="24">
        <v>0.39409141583054602</v>
      </c>
      <c r="AN320" s="44" t="str">
        <f>VLOOKUP(flu_aw25[[#This Row],[trust_code]],trust_lookup[],3,0)</f>
        <v>Moorfields</v>
      </c>
      <c r="AW320" s="2" t="s">
        <v>185</v>
      </c>
      <c r="AX320" s="2" t="s">
        <v>186</v>
      </c>
      <c r="AY320" s="2" t="s">
        <v>656</v>
      </c>
      <c r="AZ320" s="2">
        <v>362</v>
      </c>
      <c r="BA320" s="2">
        <v>146</v>
      </c>
      <c r="BB320" s="44" t="str">
        <f>VLOOKUP(age_group[[#This Row],[trust_code]],trust_lookup[],3,0)</f>
        <v>Whittington</v>
      </c>
    </row>
    <row r="321" spans="1:54" x14ac:dyDescent="0.35">
      <c r="A321" s="2" t="s">
        <v>519</v>
      </c>
      <c r="B321" s="2" t="s">
        <v>182</v>
      </c>
      <c r="C321" s="2" t="s">
        <v>183</v>
      </c>
      <c r="D321" s="2" t="s">
        <v>27</v>
      </c>
      <c r="E321" s="2" t="s">
        <v>60</v>
      </c>
      <c r="F321" s="2">
        <v>735</v>
      </c>
      <c r="G321" s="2">
        <v>320</v>
      </c>
      <c r="H321" s="14" t="str">
        <f>VLOOKUP(flu_group[[#This Row],[trust_code]],trust_lookup[],3,0)</f>
        <v>UCLH</v>
      </c>
      <c r="I321" s="14" t="str">
        <f>VLOOKUP(flu_group[[#This Row],[trust_code]],trust_lookup[],4,0)</f>
        <v>Acute</v>
      </c>
      <c r="K321" s="2" t="s">
        <v>518</v>
      </c>
      <c r="L321" s="2" t="s">
        <v>130</v>
      </c>
      <c r="M321" s="2" t="s">
        <v>131</v>
      </c>
      <c r="N321" s="2" t="s">
        <v>192</v>
      </c>
      <c r="O321" s="2" t="s">
        <v>75</v>
      </c>
      <c r="P321" s="2">
        <v>22</v>
      </c>
      <c r="R321" s="43">
        <v>45607</v>
      </c>
      <c r="S321" s="2">
        <v>46</v>
      </c>
      <c r="T321" s="2" t="s">
        <v>519</v>
      </c>
      <c r="U321" s="2" t="s">
        <v>101</v>
      </c>
      <c r="V321" s="2" t="s">
        <v>102</v>
      </c>
      <c r="W321" s="2" t="s">
        <v>192</v>
      </c>
      <c r="X321" s="23">
        <v>168</v>
      </c>
      <c r="Y321" s="23">
        <v>2676</v>
      </c>
      <c r="Z321" s="23">
        <v>11552</v>
      </c>
      <c r="AA321" s="24">
        <v>0.231648199445983</v>
      </c>
      <c r="AB321" s="14" t="str">
        <f>VLOOKUP(flu_aw24[[#This Row],[trust_code]],trust_lookup[],3,0)</f>
        <v>Imperial</v>
      </c>
      <c r="AD321" s="43">
        <v>45971</v>
      </c>
      <c r="AE321" s="2">
        <v>46</v>
      </c>
      <c r="AF321" s="2" t="s">
        <v>518</v>
      </c>
      <c r="AG321" s="2" t="s">
        <v>136</v>
      </c>
      <c r="AH321" s="2" t="s">
        <v>137</v>
      </c>
      <c r="AI321" s="2" t="s">
        <v>27</v>
      </c>
      <c r="AJ321" s="23">
        <v>50</v>
      </c>
      <c r="AK321" s="23">
        <v>757</v>
      </c>
      <c r="AL321" s="23">
        <v>1794</v>
      </c>
      <c r="AM321" s="24">
        <v>0.421962095875139</v>
      </c>
      <c r="AN321" s="44" t="str">
        <f>VLOOKUP(flu_aw25[[#This Row],[trust_code]],trust_lookup[],3,0)</f>
        <v>Moorfields</v>
      </c>
      <c r="AW321" s="2" t="s">
        <v>185</v>
      </c>
      <c r="AX321" s="2" t="s">
        <v>186</v>
      </c>
      <c r="AY321" s="2" t="s">
        <v>657</v>
      </c>
      <c r="AZ321" s="2">
        <v>298</v>
      </c>
      <c r="BA321" s="2">
        <v>135</v>
      </c>
      <c r="BB321" s="44" t="str">
        <f>VLOOKUP(age_group[[#This Row],[trust_code]],trust_lookup[],3,0)</f>
        <v>Whittington</v>
      </c>
    </row>
    <row r="322" spans="1:54" x14ac:dyDescent="0.35">
      <c r="A322" s="2" t="s">
        <v>519</v>
      </c>
      <c r="B322" s="2" t="s">
        <v>182</v>
      </c>
      <c r="C322" s="2" t="s">
        <v>183</v>
      </c>
      <c r="D322" s="2" t="s">
        <v>27</v>
      </c>
      <c r="E322" s="2" t="s">
        <v>28</v>
      </c>
      <c r="F322" s="2">
        <v>143</v>
      </c>
      <c r="G322" s="2">
        <v>37</v>
      </c>
      <c r="H322" s="14" t="str">
        <f>VLOOKUP(flu_group[[#This Row],[trust_code]],trust_lookup[],3,0)</f>
        <v>UCLH</v>
      </c>
      <c r="I322" s="14" t="str">
        <f>VLOOKUP(flu_group[[#This Row],[trust_code]],trust_lookup[],4,0)</f>
        <v>Acute</v>
      </c>
      <c r="K322" s="2" t="s">
        <v>518</v>
      </c>
      <c r="L322" s="2" t="s">
        <v>130</v>
      </c>
      <c r="M322" s="2" t="s">
        <v>131</v>
      </c>
      <c r="N322" s="2" t="s">
        <v>192</v>
      </c>
      <c r="O322" s="2" t="s">
        <v>106</v>
      </c>
      <c r="P322" s="2">
        <v>34</v>
      </c>
      <c r="R322" s="43">
        <v>45614</v>
      </c>
      <c r="S322" s="2">
        <v>47</v>
      </c>
      <c r="T322" s="2" t="s">
        <v>519</v>
      </c>
      <c r="U322" s="2" t="s">
        <v>101</v>
      </c>
      <c r="V322" s="2" t="s">
        <v>102</v>
      </c>
      <c r="W322" s="2" t="s">
        <v>192</v>
      </c>
      <c r="X322" s="23">
        <v>151</v>
      </c>
      <c r="Y322" s="23">
        <v>2827</v>
      </c>
      <c r="Z322" s="23">
        <v>11552</v>
      </c>
      <c r="AA322" s="24">
        <v>0.244719529085872</v>
      </c>
      <c r="AB322" s="14" t="str">
        <f>VLOOKUP(flu_aw24[[#This Row],[trust_code]],trust_lookup[],3,0)</f>
        <v>Imperial</v>
      </c>
      <c r="AD322" s="43">
        <v>45978</v>
      </c>
      <c r="AE322" s="2">
        <v>47</v>
      </c>
      <c r="AF322" s="2" t="s">
        <v>518</v>
      </c>
      <c r="AG322" s="2" t="s">
        <v>136</v>
      </c>
      <c r="AH322" s="2" t="s">
        <v>137</v>
      </c>
      <c r="AI322" s="2" t="s">
        <v>27</v>
      </c>
      <c r="AJ322" s="23">
        <v>43</v>
      </c>
      <c r="AK322" s="23">
        <v>800</v>
      </c>
      <c r="AL322" s="23">
        <v>1794</v>
      </c>
      <c r="AM322" s="24">
        <v>0.44593088071348902</v>
      </c>
      <c r="AN322" s="44" t="str">
        <f>VLOOKUP(flu_aw25[[#This Row],[trust_code]],trust_lookup[],3,0)</f>
        <v>Moorfields</v>
      </c>
      <c r="AW322" s="2" t="s">
        <v>185</v>
      </c>
      <c r="AX322" s="2" t="s">
        <v>186</v>
      </c>
      <c r="AY322" s="2" t="s">
        <v>658</v>
      </c>
      <c r="AZ322" s="2">
        <v>180</v>
      </c>
      <c r="BA322" s="2">
        <v>83</v>
      </c>
      <c r="BB322" s="44" t="str">
        <f>VLOOKUP(age_group[[#This Row],[trust_code]],trust_lookup[],3,0)</f>
        <v>Whittington</v>
      </c>
    </row>
    <row r="323" spans="1:54" x14ac:dyDescent="0.35">
      <c r="A323" s="2" t="s">
        <v>519</v>
      </c>
      <c r="B323" s="2" t="s">
        <v>182</v>
      </c>
      <c r="C323" s="2" t="s">
        <v>183</v>
      </c>
      <c r="D323" s="2" t="s">
        <v>27</v>
      </c>
      <c r="E323" s="2" t="s">
        <v>74</v>
      </c>
      <c r="F323" s="2">
        <v>319</v>
      </c>
      <c r="G323" s="2">
        <v>134</v>
      </c>
      <c r="H323" s="14" t="str">
        <f>VLOOKUP(flu_group[[#This Row],[trust_code]],trust_lookup[],3,0)</f>
        <v>UCLH</v>
      </c>
      <c r="I323" s="14" t="str">
        <f>VLOOKUP(flu_group[[#This Row],[trust_code]],trust_lookup[],4,0)</f>
        <v>Acute</v>
      </c>
      <c r="K323" s="2" t="s">
        <v>518</v>
      </c>
      <c r="L323" s="2" t="s">
        <v>130</v>
      </c>
      <c r="M323" s="2" t="s">
        <v>131</v>
      </c>
      <c r="N323" s="2" t="s">
        <v>192</v>
      </c>
      <c r="O323" s="2" t="s">
        <v>112</v>
      </c>
      <c r="P323" s="2">
        <v>176</v>
      </c>
      <c r="R323" s="43">
        <v>45621</v>
      </c>
      <c r="S323" s="2">
        <v>48</v>
      </c>
      <c r="T323" s="2" t="s">
        <v>519</v>
      </c>
      <c r="U323" s="2" t="s">
        <v>101</v>
      </c>
      <c r="V323" s="2" t="s">
        <v>102</v>
      </c>
      <c r="W323" s="2" t="s">
        <v>192</v>
      </c>
      <c r="X323" s="23">
        <v>106</v>
      </c>
      <c r="Y323" s="23">
        <v>2933</v>
      </c>
      <c r="Z323" s="23">
        <v>11552</v>
      </c>
      <c r="AA323" s="24">
        <v>0.25389542936288001</v>
      </c>
      <c r="AB323" s="14" t="str">
        <f>VLOOKUP(flu_aw24[[#This Row],[trust_code]],trust_lookup[],3,0)</f>
        <v>Imperial</v>
      </c>
      <c r="AD323" s="43">
        <v>45985</v>
      </c>
      <c r="AE323" s="2">
        <v>48</v>
      </c>
      <c r="AF323" s="2" t="s">
        <v>518</v>
      </c>
      <c r="AG323" s="2" t="s">
        <v>136</v>
      </c>
      <c r="AH323" s="2" t="s">
        <v>137</v>
      </c>
      <c r="AI323" s="2" t="s">
        <v>27</v>
      </c>
      <c r="AJ323" s="23">
        <v>29</v>
      </c>
      <c r="AK323" s="23">
        <v>829</v>
      </c>
      <c r="AL323" s="23">
        <v>1794</v>
      </c>
      <c r="AM323" s="24">
        <v>0.46209587513935302</v>
      </c>
      <c r="AN323" s="44" t="str">
        <f>VLOOKUP(flu_aw25[[#This Row],[trust_code]],trust_lookup[],3,0)</f>
        <v>Moorfields</v>
      </c>
      <c r="AW323" s="2" t="s">
        <v>185</v>
      </c>
      <c r="AX323" s="2" t="s">
        <v>186</v>
      </c>
      <c r="AY323" s="2" t="s">
        <v>659</v>
      </c>
      <c r="AZ323" s="2">
        <v>85</v>
      </c>
      <c r="BA323" s="2">
        <v>46</v>
      </c>
      <c r="BB323" s="44" t="str">
        <f>VLOOKUP(age_group[[#This Row],[trust_code]],trust_lookup[],3,0)</f>
        <v>Whittington</v>
      </c>
    </row>
    <row r="324" spans="1:54" x14ac:dyDescent="0.35">
      <c r="A324" s="2" t="s">
        <v>519</v>
      </c>
      <c r="B324" s="2" t="s">
        <v>182</v>
      </c>
      <c r="C324" s="2" t="s">
        <v>183</v>
      </c>
      <c r="D324" s="2" t="s">
        <v>27</v>
      </c>
      <c r="E324" s="2" t="s">
        <v>42</v>
      </c>
      <c r="F324" s="2">
        <v>2604</v>
      </c>
      <c r="G324" s="2">
        <v>1193</v>
      </c>
      <c r="H324" s="14" t="str">
        <f>VLOOKUP(flu_group[[#This Row],[trust_code]],trust_lookup[],3,0)</f>
        <v>UCLH</v>
      </c>
      <c r="I324" s="14" t="str">
        <f>VLOOKUP(flu_group[[#This Row],[trust_code]],trust_lookup[],4,0)</f>
        <v>Acute</v>
      </c>
      <c r="K324" s="2" t="s">
        <v>518</v>
      </c>
      <c r="L324" s="2" t="s">
        <v>130</v>
      </c>
      <c r="M324" s="2" t="s">
        <v>131</v>
      </c>
      <c r="N324" s="2" t="s">
        <v>192</v>
      </c>
      <c r="O324" s="2" t="s">
        <v>36</v>
      </c>
      <c r="P324" s="2">
        <v>114</v>
      </c>
      <c r="R324" s="43">
        <v>45628</v>
      </c>
      <c r="S324" s="2">
        <v>49</v>
      </c>
      <c r="T324" s="2" t="s">
        <v>519</v>
      </c>
      <c r="U324" s="2" t="s">
        <v>101</v>
      </c>
      <c r="V324" s="2" t="s">
        <v>102</v>
      </c>
      <c r="W324" s="2" t="s">
        <v>192</v>
      </c>
      <c r="X324" s="23">
        <v>180</v>
      </c>
      <c r="Y324" s="23">
        <v>3113</v>
      </c>
      <c r="Z324" s="23">
        <v>11552</v>
      </c>
      <c r="AA324" s="24">
        <v>0.26947714681440399</v>
      </c>
      <c r="AB324" s="14" t="str">
        <f>VLOOKUP(flu_aw24[[#This Row],[trust_code]],trust_lookup[],3,0)</f>
        <v>Imperial</v>
      </c>
      <c r="AD324" s="43">
        <v>45992</v>
      </c>
      <c r="AE324" s="2">
        <v>49</v>
      </c>
      <c r="AF324" s="2" t="s">
        <v>518</v>
      </c>
      <c r="AG324" s="2" t="s">
        <v>136</v>
      </c>
      <c r="AH324" s="2" t="s">
        <v>137</v>
      </c>
      <c r="AI324" s="2" t="s">
        <v>27</v>
      </c>
      <c r="AJ324" s="23">
        <v>19</v>
      </c>
      <c r="AK324" s="23">
        <v>848</v>
      </c>
      <c r="AL324" s="23">
        <v>1794</v>
      </c>
      <c r="AM324" s="24">
        <v>0.47268673355629798</v>
      </c>
      <c r="AN324" s="44" t="str">
        <f>VLOOKUP(flu_aw25[[#This Row],[trust_code]],trust_lookup[],3,0)</f>
        <v>Moorfields</v>
      </c>
    </row>
    <row r="325" spans="1:54" x14ac:dyDescent="0.35">
      <c r="A325" s="2" t="s">
        <v>519</v>
      </c>
      <c r="B325" s="2" t="s">
        <v>182</v>
      </c>
      <c r="C325" s="2" t="s">
        <v>183</v>
      </c>
      <c r="D325" s="2" t="s">
        <v>27</v>
      </c>
      <c r="E325" s="2" t="s">
        <v>53</v>
      </c>
      <c r="F325" s="2">
        <v>2870</v>
      </c>
      <c r="G325" s="2">
        <v>1034</v>
      </c>
      <c r="H325" s="14" t="str">
        <f>VLOOKUP(flu_group[[#This Row],[trust_code]],trust_lookup[],3,0)</f>
        <v>UCLH</v>
      </c>
      <c r="I325" s="14" t="str">
        <f>VLOOKUP(flu_group[[#This Row],[trust_code]],trust_lookup[],4,0)</f>
        <v>Acute</v>
      </c>
      <c r="K325" s="2" t="s">
        <v>518</v>
      </c>
      <c r="L325" s="2" t="s">
        <v>176</v>
      </c>
      <c r="M325" s="2" t="s">
        <v>177</v>
      </c>
      <c r="N325" s="2" t="s">
        <v>192</v>
      </c>
      <c r="O325" s="2" t="s">
        <v>68</v>
      </c>
      <c r="P325" s="2">
        <v>331</v>
      </c>
      <c r="R325" s="43">
        <v>45635</v>
      </c>
      <c r="S325" s="2">
        <v>50</v>
      </c>
      <c r="T325" s="2" t="s">
        <v>519</v>
      </c>
      <c r="U325" s="2" t="s">
        <v>101</v>
      </c>
      <c r="V325" s="2" t="s">
        <v>102</v>
      </c>
      <c r="W325" s="2" t="s">
        <v>192</v>
      </c>
      <c r="X325" s="23">
        <v>160</v>
      </c>
      <c r="Y325" s="23">
        <v>3273</v>
      </c>
      <c r="Z325" s="23">
        <v>11552</v>
      </c>
      <c r="AA325" s="24">
        <v>0.28332756232686901</v>
      </c>
      <c r="AB325" s="14" t="str">
        <f>VLOOKUP(flu_aw24[[#This Row],[trust_code]],trust_lookup[],3,0)</f>
        <v>Imperial</v>
      </c>
      <c r="AD325" s="43">
        <v>45999</v>
      </c>
      <c r="AE325" s="2">
        <v>50</v>
      </c>
      <c r="AF325" s="2" t="s">
        <v>518</v>
      </c>
      <c r="AG325" s="2" t="s">
        <v>136</v>
      </c>
      <c r="AH325" s="2" t="s">
        <v>137</v>
      </c>
      <c r="AI325" s="2" t="s">
        <v>27</v>
      </c>
      <c r="AJ325" s="23">
        <v>32</v>
      </c>
      <c r="AK325" s="23">
        <v>880</v>
      </c>
      <c r="AL325" s="23">
        <v>1794</v>
      </c>
      <c r="AM325" s="24">
        <v>0.490523968784838</v>
      </c>
      <c r="AN325" s="44" t="str">
        <f>VLOOKUP(flu_aw25[[#This Row],[trust_code]],trust_lookup[],3,0)</f>
        <v>Moorfields</v>
      </c>
    </row>
    <row r="326" spans="1:54" x14ac:dyDescent="0.35">
      <c r="A326" s="2" t="s">
        <v>519</v>
      </c>
      <c r="B326" s="2" t="s">
        <v>182</v>
      </c>
      <c r="C326" s="2" t="s">
        <v>183</v>
      </c>
      <c r="D326" s="2" t="s">
        <v>27</v>
      </c>
      <c r="E326" s="2" t="s">
        <v>35</v>
      </c>
      <c r="F326" s="2">
        <v>57</v>
      </c>
      <c r="G326" s="2">
        <v>14</v>
      </c>
      <c r="H326" s="14" t="str">
        <f>VLOOKUP(flu_group[[#This Row],[trust_code]],trust_lookup[],3,0)</f>
        <v>UCLH</v>
      </c>
      <c r="I326" s="14" t="str">
        <f>VLOOKUP(flu_group[[#This Row],[trust_code]],trust_lookup[],4,0)</f>
        <v>Acute</v>
      </c>
      <c r="K326" s="2" t="s">
        <v>518</v>
      </c>
      <c r="L326" s="2" t="s">
        <v>176</v>
      </c>
      <c r="M326" s="2" t="s">
        <v>177</v>
      </c>
      <c r="N326" s="2" t="s">
        <v>192</v>
      </c>
      <c r="O326" s="2" t="s">
        <v>135</v>
      </c>
      <c r="P326" s="2">
        <v>20</v>
      </c>
      <c r="R326" s="43">
        <v>45642</v>
      </c>
      <c r="S326" s="2">
        <v>51</v>
      </c>
      <c r="T326" s="2" t="s">
        <v>519</v>
      </c>
      <c r="U326" s="2" t="s">
        <v>101</v>
      </c>
      <c r="V326" s="2" t="s">
        <v>102</v>
      </c>
      <c r="W326" s="2" t="s">
        <v>192</v>
      </c>
      <c r="X326" s="23">
        <v>161</v>
      </c>
      <c r="Y326" s="23">
        <v>3434</v>
      </c>
      <c r="Z326" s="23">
        <v>11552</v>
      </c>
      <c r="AA326" s="24">
        <v>0.29726454293628801</v>
      </c>
      <c r="AB326" s="14" t="str">
        <f>VLOOKUP(flu_aw24[[#This Row],[trust_code]],trust_lookup[],3,0)</f>
        <v>Imperial</v>
      </c>
      <c r="AD326" s="43">
        <v>46006</v>
      </c>
      <c r="AE326" s="2">
        <v>51</v>
      </c>
      <c r="AF326" s="2" t="s">
        <v>518</v>
      </c>
      <c r="AG326" s="2" t="s">
        <v>136</v>
      </c>
      <c r="AH326" s="2" t="s">
        <v>137</v>
      </c>
      <c r="AI326" s="2" t="s">
        <v>27</v>
      </c>
      <c r="AJ326" s="23">
        <v>10</v>
      </c>
      <c r="AK326" s="23">
        <v>890</v>
      </c>
      <c r="AL326" s="23">
        <v>1794</v>
      </c>
      <c r="AM326" s="24">
        <v>0.49609810479375699</v>
      </c>
      <c r="AN326" s="44" t="str">
        <f>VLOOKUP(flu_aw25[[#This Row],[trust_code]],trust_lookup[],3,0)</f>
        <v>Moorfields</v>
      </c>
    </row>
    <row r="327" spans="1:54" x14ac:dyDescent="0.35">
      <c r="A327" s="2" t="s">
        <v>519</v>
      </c>
      <c r="B327" s="2" t="s">
        <v>185</v>
      </c>
      <c r="C327" s="2" t="s">
        <v>186</v>
      </c>
      <c r="D327" s="2" t="s">
        <v>27</v>
      </c>
      <c r="E327" s="2" t="s">
        <v>67</v>
      </c>
      <c r="F327" s="2">
        <v>296</v>
      </c>
      <c r="G327" s="2">
        <v>83</v>
      </c>
      <c r="H327" s="14" t="str">
        <f>VLOOKUP(flu_group[[#This Row],[trust_code]],trust_lookup[],3,0)</f>
        <v>Whittington</v>
      </c>
      <c r="I327" s="14" t="str">
        <f>VLOOKUP(flu_group[[#This Row],[trust_code]],trust_lookup[],4,0)</f>
        <v>Acute &amp; Community</v>
      </c>
      <c r="K327" s="2" t="s">
        <v>518</v>
      </c>
      <c r="L327" s="2" t="s">
        <v>176</v>
      </c>
      <c r="M327" s="2" t="s">
        <v>177</v>
      </c>
      <c r="N327" s="2" t="s">
        <v>192</v>
      </c>
      <c r="O327" s="2" t="s">
        <v>54</v>
      </c>
      <c r="P327" s="2">
        <v>69</v>
      </c>
      <c r="R327" s="43">
        <v>45649</v>
      </c>
      <c r="S327" s="2">
        <v>52</v>
      </c>
      <c r="T327" s="2" t="s">
        <v>519</v>
      </c>
      <c r="U327" s="2" t="s">
        <v>101</v>
      </c>
      <c r="V327" s="2" t="s">
        <v>102</v>
      </c>
      <c r="W327" s="2" t="s">
        <v>192</v>
      </c>
      <c r="X327" s="23">
        <v>11</v>
      </c>
      <c r="Y327" s="23">
        <v>3445</v>
      </c>
      <c r="Z327" s="23">
        <v>11552</v>
      </c>
      <c r="AA327" s="24">
        <v>0.29821675900277</v>
      </c>
      <c r="AB327" s="14" t="str">
        <f>VLOOKUP(flu_aw24[[#This Row],[trust_code]],trust_lookup[],3,0)</f>
        <v>Imperial</v>
      </c>
      <c r="AD327" s="43">
        <v>46013</v>
      </c>
      <c r="AE327" s="2">
        <v>52</v>
      </c>
      <c r="AF327" s="2" t="s">
        <v>518</v>
      </c>
      <c r="AG327" s="2" t="s">
        <v>136</v>
      </c>
      <c r="AH327" s="2" t="s">
        <v>137</v>
      </c>
      <c r="AI327" s="2" t="s">
        <v>27</v>
      </c>
      <c r="AJ327" s="23">
        <v>4</v>
      </c>
      <c r="AK327" s="23">
        <v>894</v>
      </c>
      <c r="AL327" s="23">
        <v>1794</v>
      </c>
      <c r="AM327" s="24">
        <v>0.49832775919732403</v>
      </c>
      <c r="AN327" s="44" t="str">
        <f>VLOOKUP(flu_aw25[[#This Row],[trust_code]],trust_lookup[],3,0)</f>
        <v>Moorfields</v>
      </c>
    </row>
    <row r="328" spans="1:54" x14ac:dyDescent="0.35">
      <c r="A328" s="2" t="s">
        <v>519</v>
      </c>
      <c r="B328" s="2" t="s">
        <v>185</v>
      </c>
      <c r="C328" s="2" t="s">
        <v>186</v>
      </c>
      <c r="D328" s="2" t="s">
        <v>27</v>
      </c>
      <c r="E328" s="2" t="s">
        <v>81</v>
      </c>
      <c r="F328" s="2">
        <v>580</v>
      </c>
      <c r="G328" s="2">
        <v>151</v>
      </c>
      <c r="H328" s="14" t="str">
        <f>VLOOKUP(flu_group[[#This Row],[trust_code]],trust_lookup[],3,0)</f>
        <v>Whittington</v>
      </c>
      <c r="I328" s="14" t="str">
        <f>VLOOKUP(flu_group[[#This Row],[trust_code]],trust_lookup[],4,0)</f>
        <v>Acute &amp; Community</v>
      </c>
      <c r="K328" s="2" t="s">
        <v>518</v>
      </c>
      <c r="L328" s="2" t="s">
        <v>176</v>
      </c>
      <c r="M328" s="2" t="s">
        <v>177</v>
      </c>
      <c r="N328" s="2" t="s">
        <v>192</v>
      </c>
      <c r="O328" s="2" t="s">
        <v>129</v>
      </c>
      <c r="P328" s="2">
        <v>4</v>
      </c>
      <c r="R328" s="43">
        <v>45656</v>
      </c>
      <c r="S328" s="2">
        <v>1</v>
      </c>
      <c r="T328" s="2" t="s">
        <v>519</v>
      </c>
      <c r="U328" s="2" t="s">
        <v>101</v>
      </c>
      <c r="V328" s="2" t="s">
        <v>102</v>
      </c>
      <c r="W328" s="2" t="s">
        <v>192</v>
      </c>
      <c r="X328" s="23">
        <v>19</v>
      </c>
      <c r="Y328" s="23">
        <v>3464</v>
      </c>
      <c r="Z328" s="23">
        <v>11552</v>
      </c>
      <c r="AA328" s="24">
        <v>0.29986149584487498</v>
      </c>
      <c r="AB328" s="14" t="str">
        <f>VLOOKUP(flu_aw24[[#This Row],[trust_code]],trust_lookup[],3,0)</f>
        <v>Imperial</v>
      </c>
      <c r="AD328" s="43">
        <v>46020</v>
      </c>
      <c r="AE328" s="2">
        <v>1</v>
      </c>
      <c r="AF328" s="2" t="s">
        <v>518</v>
      </c>
      <c r="AG328" s="2" t="s">
        <v>136</v>
      </c>
      <c r="AH328" s="2" t="s">
        <v>137</v>
      </c>
      <c r="AI328" s="2" t="s">
        <v>27</v>
      </c>
      <c r="AJ328" s="23">
        <v>2</v>
      </c>
      <c r="AK328" s="23">
        <v>896</v>
      </c>
      <c r="AL328" s="23">
        <v>1794</v>
      </c>
      <c r="AM328" s="24">
        <v>0.49944258639910799</v>
      </c>
      <c r="AN328" s="44" t="str">
        <f>VLOOKUP(flu_aw25[[#This Row],[trust_code]],trust_lookup[],3,0)</f>
        <v>Moorfields</v>
      </c>
    </row>
    <row r="329" spans="1:54" x14ac:dyDescent="0.35">
      <c r="A329" s="2" t="s">
        <v>519</v>
      </c>
      <c r="B329" s="2" t="s">
        <v>185</v>
      </c>
      <c r="C329" s="2" t="s">
        <v>186</v>
      </c>
      <c r="D329" s="2" t="s">
        <v>27</v>
      </c>
      <c r="E329" s="2" t="s">
        <v>46</v>
      </c>
      <c r="F329" s="2">
        <v>1</v>
      </c>
      <c r="G329" s="2">
        <v>1</v>
      </c>
      <c r="H329" s="14" t="str">
        <f>VLOOKUP(flu_group[[#This Row],[trust_code]],trust_lookup[],3,0)</f>
        <v>Whittington</v>
      </c>
      <c r="I329" s="14" t="str">
        <f>VLOOKUP(flu_group[[#This Row],[trust_code]],trust_lookup[],4,0)</f>
        <v>Acute &amp; Community</v>
      </c>
      <c r="K329" s="2" t="s">
        <v>518</v>
      </c>
      <c r="L329" s="2" t="s">
        <v>176</v>
      </c>
      <c r="M329" s="2" t="s">
        <v>177</v>
      </c>
      <c r="N329" s="2" t="s">
        <v>192</v>
      </c>
      <c r="O329" s="2" t="s">
        <v>47</v>
      </c>
      <c r="P329" s="2">
        <v>4</v>
      </c>
      <c r="R329" s="43">
        <v>45663</v>
      </c>
      <c r="S329" s="2">
        <v>2</v>
      </c>
      <c r="T329" s="2" t="s">
        <v>519</v>
      </c>
      <c r="U329" s="2" t="s">
        <v>101</v>
      </c>
      <c r="V329" s="2" t="s">
        <v>102</v>
      </c>
      <c r="W329" s="2" t="s">
        <v>192</v>
      </c>
      <c r="X329" s="23">
        <v>31</v>
      </c>
      <c r="Y329" s="23">
        <v>3495</v>
      </c>
      <c r="Z329" s="23">
        <v>11552</v>
      </c>
      <c r="AA329" s="24">
        <v>0.30254501385041499</v>
      </c>
      <c r="AB329" s="14" t="str">
        <f>VLOOKUP(flu_aw24[[#This Row],[trust_code]],trust_lookup[],3,0)</f>
        <v>Imperial</v>
      </c>
      <c r="AD329" s="43">
        <v>46027</v>
      </c>
      <c r="AE329" s="2">
        <v>2</v>
      </c>
      <c r="AF329" s="2" t="s">
        <v>518</v>
      </c>
      <c r="AG329" s="2" t="s">
        <v>136</v>
      </c>
      <c r="AH329" s="2" t="s">
        <v>137</v>
      </c>
      <c r="AI329" s="2" t="s">
        <v>27</v>
      </c>
      <c r="AJ329" s="23">
        <v>7</v>
      </c>
      <c r="AK329" s="23">
        <v>903</v>
      </c>
      <c r="AL329" s="23">
        <v>1794</v>
      </c>
      <c r="AM329" s="24">
        <v>0.50334448160535095</v>
      </c>
      <c r="AN329" s="44" t="str">
        <f>VLOOKUP(flu_aw25[[#This Row],[trust_code]],trust_lookup[],3,0)</f>
        <v>Moorfields</v>
      </c>
    </row>
    <row r="330" spans="1:54" x14ac:dyDescent="0.35">
      <c r="A330" s="2" t="s">
        <v>519</v>
      </c>
      <c r="B330" s="2" t="s">
        <v>185</v>
      </c>
      <c r="C330" s="2" t="s">
        <v>186</v>
      </c>
      <c r="D330" s="2" t="s">
        <v>27</v>
      </c>
      <c r="E330" s="2" t="s">
        <v>60</v>
      </c>
      <c r="F330" s="2">
        <v>481</v>
      </c>
      <c r="G330" s="2">
        <v>172</v>
      </c>
      <c r="H330" s="14" t="str">
        <f>VLOOKUP(flu_group[[#This Row],[trust_code]],trust_lookup[],3,0)</f>
        <v>Whittington</v>
      </c>
      <c r="I330" s="14" t="str">
        <f>VLOOKUP(flu_group[[#This Row],[trust_code]],trust_lookup[],4,0)</f>
        <v>Acute &amp; Community</v>
      </c>
      <c r="K330" s="2" t="s">
        <v>518</v>
      </c>
      <c r="L330" s="2" t="s">
        <v>176</v>
      </c>
      <c r="M330" s="2" t="s">
        <v>177</v>
      </c>
      <c r="N330" s="2" t="s">
        <v>192</v>
      </c>
      <c r="O330" s="2" t="s">
        <v>94</v>
      </c>
      <c r="P330" s="2">
        <v>8</v>
      </c>
      <c r="R330" s="43">
        <v>45670</v>
      </c>
      <c r="S330" s="2">
        <v>3</v>
      </c>
      <c r="T330" s="2" t="s">
        <v>519</v>
      </c>
      <c r="U330" s="2" t="s">
        <v>101</v>
      </c>
      <c r="V330" s="2" t="s">
        <v>102</v>
      </c>
      <c r="W330" s="2" t="s">
        <v>192</v>
      </c>
      <c r="X330" s="23">
        <v>24</v>
      </c>
      <c r="Y330" s="23">
        <v>3519</v>
      </c>
      <c r="Z330" s="23">
        <v>11552</v>
      </c>
      <c r="AA330" s="24">
        <v>0.304622576177285</v>
      </c>
      <c r="AB330" s="14" t="str">
        <f>VLOOKUP(flu_aw24[[#This Row],[trust_code]],trust_lookup[],3,0)</f>
        <v>Imperial</v>
      </c>
      <c r="AD330" s="43">
        <v>46034</v>
      </c>
      <c r="AE330" s="2">
        <v>3</v>
      </c>
      <c r="AF330" s="2" t="s">
        <v>518</v>
      </c>
      <c r="AG330" s="2" t="s">
        <v>136</v>
      </c>
      <c r="AH330" s="2" t="s">
        <v>137</v>
      </c>
      <c r="AI330" s="2" t="s">
        <v>27</v>
      </c>
      <c r="AJ330" s="23">
        <v>3</v>
      </c>
      <c r="AK330" s="23">
        <v>906</v>
      </c>
      <c r="AL330" s="23">
        <v>1794</v>
      </c>
      <c r="AM330" s="24">
        <v>0.50501672240802598</v>
      </c>
      <c r="AN330" s="44" t="str">
        <f>VLOOKUP(flu_aw25[[#This Row],[trust_code]],trust_lookup[],3,0)</f>
        <v>Moorfields</v>
      </c>
    </row>
    <row r="331" spans="1:54" x14ac:dyDescent="0.35">
      <c r="A331" s="2" t="s">
        <v>519</v>
      </c>
      <c r="B331" s="2" t="s">
        <v>185</v>
      </c>
      <c r="C331" s="2" t="s">
        <v>186</v>
      </c>
      <c r="D331" s="2" t="s">
        <v>27</v>
      </c>
      <c r="E331" s="2" t="s">
        <v>28</v>
      </c>
      <c r="F331" s="2">
        <v>46</v>
      </c>
      <c r="G331" s="2">
        <v>5</v>
      </c>
      <c r="H331" s="14" t="str">
        <f>VLOOKUP(flu_group[[#This Row],[trust_code]],trust_lookup[],3,0)</f>
        <v>Whittington</v>
      </c>
      <c r="I331" s="14" t="str">
        <f>VLOOKUP(flu_group[[#This Row],[trust_code]],trust_lookup[],4,0)</f>
        <v>Acute &amp; Community</v>
      </c>
      <c r="K331" s="2" t="s">
        <v>518</v>
      </c>
      <c r="L331" s="2" t="s">
        <v>176</v>
      </c>
      <c r="M331" s="2" t="s">
        <v>177</v>
      </c>
      <c r="N331" s="2" t="s">
        <v>192</v>
      </c>
      <c r="O331" s="2" t="s">
        <v>29</v>
      </c>
      <c r="P331" s="2">
        <v>17</v>
      </c>
      <c r="R331" s="43">
        <v>45677</v>
      </c>
      <c r="S331" s="2">
        <v>4</v>
      </c>
      <c r="T331" s="2" t="s">
        <v>519</v>
      </c>
      <c r="U331" s="2" t="s">
        <v>101</v>
      </c>
      <c r="V331" s="2" t="s">
        <v>102</v>
      </c>
      <c r="W331" s="2" t="s">
        <v>192</v>
      </c>
      <c r="X331" s="23">
        <v>35</v>
      </c>
      <c r="Y331" s="23">
        <v>3554</v>
      </c>
      <c r="Z331" s="23">
        <v>11552</v>
      </c>
      <c r="AA331" s="24">
        <v>0.307652354570637</v>
      </c>
      <c r="AB331" s="14" t="str">
        <f>VLOOKUP(flu_aw24[[#This Row],[trust_code]],trust_lookup[],3,0)</f>
        <v>Imperial</v>
      </c>
      <c r="AD331" s="43">
        <v>46041</v>
      </c>
      <c r="AE331" s="2">
        <v>4</v>
      </c>
      <c r="AF331" s="2" t="s">
        <v>518</v>
      </c>
      <c r="AG331" s="2" t="s">
        <v>136</v>
      </c>
      <c r="AH331" s="2" t="s">
        <v>137</v>
      </c>
      <c r="AI331" s="2" t="s">
        <v>27</v>
      </c>
      <c r="AJ331" s="23">
        <v>4</v>
      </c>
      <c r="AK331" s="23">
        <v>910</v>
      </c>
      <c r="AL331" s="23">
        <v>1794</v>
      </c>
      <c r="AM331" s="24">
        <v>0.50724637681159401</v>
      </c>
      <c r="AN331" s="44" t="str">
        <f>VLOOKUP(flu_aw25[[#This Row],[trust_code]],trust_lookup[],3,0)</f>
        <v>Moorfields</v>
      </c>
    </row>
    <row r="332" spans="1:54" x14ac:dyDescent="0.35">
      <c r="A332" s="2" t="s">
        <v>519</v>
      </c>
      <c r="B332" s="2" t="s">
        <v>185</v>
      </c>
      <c r="C332" s="2" t="s">
        <v>186</v>
      </c>
      <c r="D332" s="2" t="s">
        <v>27</v>
      </c>
      <c r="E332" s="2" t="s">
        <v>74</v>
      </c>
      <c r="F332" s="2">
        <v>43</v>
      </c>
      <c r="G332" s="2">
        <v>13</v>
      </c>
      <c r="H332" s="14" t="str">
        <f>VLOOKUP(flu_group[[#This Row],[trust_code]],trust_lookup[],3,0)</f>
        <v>Whittington</v>
      </c>
      <c r="I332" s="14" t="str">
        <f>VLOOKUP(flu_group[[#This Row],[trust_code]],trust_lookup[],4,0)</f>
        <v>Acute &amp; Community</v>
      </c>
      <c r="K332" s="2" t="s">
        <v>518</v>
      </c>
      <c r="L332" s="2" t="s">
        <v>176</v>
      </c>
      <c r="M332" s="2" t="s">
        <v>177</v>
      </c>
      <c r="N332" s="2" t="s">
        <v>192</v>
      </c>
      <c r="O332" s="2" t="s">
        <v>123</v>
      </c>
      <c r="P332" s="2">
        <v>173</v>
      </c>
      <c r="R332" s="43">
        <v>45684</v>
      </c>
      <c r="S332" s="2">
        <v>5</v>
      </c>
      <c r="T332" s="2" t="s">
        <v>519</v>
      </c>
      <c r="U332" s="2" t="s">
        <v>101</v>
      </c>
      <c r="V332" s="2" t="s">
        <v>102</v>
      </c>
      <c r="W332" s="2" t="s">
        <v>192</v>
      </c>
      <c r="X332" s="23">
        <v>8</v>
      </c>
      <c r="Y332" s="23">
        <v>3562</v>
      </c>
      <c r="Z332" s="23">
        <v>11552</v>
      </c>
      <c r="AA332" s="24">
        <v>0.30834487534625998</v>
      </c>
      <c r="AB332" s="14" t="str">
        <f>VLOOKUP(flu_aw24[[#This Row],[trust_code]],trust_lookup[],3,0)</f>
        <v>Imperial</v>
      </c>
      <c r="AD332" s="43">
        <v>46048</v>
      </c>
      <c r="AE332" s="2">
        <v>5</v>
      </c>
      <c r="AF332" s="2" t="s">
        <v>518</v>
      </c>
      <c r="AG332" s="2" t="s">
        <v>136</v>
      </c>
      <c r="AH332" s="2" t="s">
        <v>137</v>
      </c>
      <c r="AI332" s="2" t="s">
        <v>27</v>
      </c>
      <c r="AJ332" s="23">
        <v>4</v>
      </c>
      <c r="AK332" s="23">
        <v>914</v>
      </c>
      <c r="AL332" s="23">
        <v>1794</v>
      </c>
      <c r="AM332" s="24">
        <v>0.50947603121516105</v>
      </c>
      <c r="AN332" s="44" t="str">
        <f>VLOOKUP(flu_aw25[[#This Row],[trust_code]],trust_lookup[],3,0)</f>
        <v>Moorfields</v>
      </c>
    </row>
    <row r="333" spans="1:54" x14ac:dyDescent="0.35">
      <c r="A333" s="2" t="s">
        <v>519</v>
      </c>
      <c r="B333" s="2" t="s">
        <v>185</v>
      </c>
      <c r="C333" s="2" t="s">
        <v>186</v>
      </c>
      <c r="D333" s="2" t="s">
        <v>27</v>
      </c>
      <c r="E333" s="2" t="s">
        <v>42</v>
      </c>
      <c r="F333" s="2">
        <v>435</v>
      </c>
      <c r="G333" s="2">
        <v>245</v>
      </c>
      <c r="H333" s="14" t="str">
        <f>VLOOKUP(flu_group[[#This Row],[trust_code]],trust_lookup[],3,0)</f>
        <v>Whittington</v>
      </c>
      <c r="I333" s="14" t="str">
        <f>VLOOKUP(flu_group[[#This Row],[trust_code]],trust_lookup[],4,0)</f>
        <v>Acute &amp; Community</v>
      </c>
      <c r="K333" s="2" t="s">
        <v>518</v>
      </c>
      <c r="L333" s="2" t="s">
        <v>176</v>
      </c>
      <c r="M333" s="2" t="s">
        <v>177</v>
      </c>
      <c r="N333" s="2" t="s">
        <v>192</v>
      </c>
      <c r="O333" s="2" t="s">
        <v>82</v>
      </c>
      <c r="P333" s="2">
        <v>26</v>
      </c>
      <c r="R333" s="43">
        <v>45691</v>
      </c>
      <c r="S333" s="2">
        <v>6</v>
      </c>
      <c r="T333" s="2" t="s">
        <v>519</v>
      </c>
      <c r="U333" s="2" t="s">
        <v>101</v>
      </c>
      <c r="V333" s="2" t="s">
        <v>102</v>
      </c>
      <c r="W333" s="2" t="s">
        <v>192</v>
      </c>
      <c r="X333" s="23">
        <v>5</v>
      </c>
      <c r="Y333" s="23">
        <v>3567</v>
      </c>
      <c r="Z333" s="23">
        <v>11552</v>
      </c>
      <c r="AA333" s="24">
        <v>0.30877770083102402</v>
      </c>
      <c r="AB333" s="14" t="str">
        <f>VLOOKUP(flu_aw24[[#This Row],[trust_code]],trust_lookup[],3,0)</f>
        <v>Imperial</v>
      </c>
      <c r="AD333" s="43">
        <v>46055</v>
      </c>
      <c r="AE333" s="2">
        <v>6</v>
      </c>
      <c r="AF333" s="2" t="s">
        <v>518</v>
      </c>
      <c r="AG333" s="2" t="s">
        <v>136</v>
      </c>
      <c r="AH333" s="2" t="s">
        <v>137</v>
      </c>
      <c r="AI333" s="2" t="s">
        <v>27</v>
      </c>
      <c r="AJ333" s="23">
        <v>1</v>
      </c>
      <c r="AK333" s="23">
        <v>915</v>
      </c>
      <c r="AL333" s="23">
        <v>1794</v>
      </c>
      <c r="AM333" s="24">
        <v>0.51003344481605295</v>
      </c>
      <c r="AN333" s="44" t="str">
        <f>VLOOKUP(flu_aw25[[#This Row],[trust_code]],trust_lookup[],3,0)</f>
        <v>Moorfields</v>
      </c>
    </row>
    <row r="334" spans="1:54" x14ac:dyDescent="0.35">
      <c r="A334" s="2" t="s">
        <v>519</v>
      </c>
      <c r="B334" s="2" t="s">
        <v>185</v>
      </c>
      <c r="C334" s="2" t="s">
        <v>186</v>
      </c>
      <c r="D334" s="2" t="s">
        <v>27</v>
      </c>
      <c r="E334" s="2" t="s">
        <v>53</v>
      </c>
      <c r="F334" s="2">
        <v>1067</v>
      </c>
      <c r="G334" s="2">
        <v>349</v>
      </c>
      <c r="H334" s="14" t="str">
        <f>VLOOKUP(flu_group[[#This Row],[trust_code]],trust_lookup[],3,0)</f>
        <v>Whittington</v>
      </c>
      <c r="I334" s="14" t="str">
        <f>VLOOKUP(flu_group[[#This Row],[trust_code]],trust_lookup[],4,0)</f>
        <v>Acute &amp; Community</v>
      </c>
      <c r="K334" s="2" t="s">
        <v>518</v>
      </c>
      <c r="L334" s="2" t="s">
        <v>176</v>
      </c>
      <c r="M334" s="2" t="s">
        <v>177</v>
      </c>
      <c r="N334" s="2" t="s">
        <v>192</v>
      </c>
      <c r="O334" s="2" t="s">
        <v>88</v>
      </c>
      <c r="P334" s="2">
        <v>11</v>
      </c>
      <c r="R334" s="43">
        <v>45698</v>
      </c>
      <c r="S334" s="2">
        <v>7</v>
      </c>
      <c r="T334" s="2" t="s">
        <v>519</v>
      </c>
      <c r="U334" s="2" t="s">
        <v>101</v>
      </c>
      <c r="V334" s="2" t="s">
        <v>102</v>
      </c>
      <c r="W334" s="2" t="s">
        <v>192</v>
      </c>
      <c r="X334" s="23">
        <v>9</v>
      </c>
      <c r="Y334" s="23">
        <v>3576</v>
      </c>
      <c r="Z334" s="23">
        <v>11552</v>
      </c>
      <c r="AA334" s="24">
        <v>0.30955678670360098</v>
      </c>
      <c r="AB334" s="14" t="str">
        <f>VLOOKUP(flu_aw24[[#This Row],[trust_code]],trust_lookup[],3,0)</f>
        <v>Imperial</v>
      </c>
      <c r="AD334" s="43">
        <v>46062</v>
      </c>
      <c r="AE334" s="2">
        <v>7</v>
      </c>
      <c r="AF334" s="2" t="s">
        <v>518</v>
      </c>
      <c r="AG334" s="2" t="s">
        <v>136</v>
      </c>
      <c r="AH334" s="2" t="s">
        <v>137</v>
      </c>
      <c r="AI334" s="2" t="s">
        <v>27</v>
      </c>
      <c r="AJ334" s="23">
        <v>1</v>
      </c>
      <c r="AK334" s="23">
        <v>916</v>
      </c>
      <c r="AL334" s="23">
        <v>1794</v>
      </c>
      <c r="AM334" s="24">
        <v>0.51059085841694496</v>
      </c>
      <c r="AN334" s="44" t="str">
        <f>VLOOKUP(flu_aw25[[#This Row],[trust_code]],trust_lookup[],3,0)</f>
        <v>Moorfields</v>
      </c>
    </row>
    <row r="335" spans="1:54" x14ac:dyDescent="0.35">
      <c r="A335" s="2" t="s">
        <v>519</v>
      </c>
      <c r="B335" s="2" t="s">
        <v>185</v>
      </c>
      <c r="C335" s="2" t="s">
        <v>186</v>
      </c>
      <c r="D335" s="2" t="s">
        <v>27</v>
      </c>
      <c r="E335" s="2" t="s">
        <v>35</v>
      </c>
      <c r="F335" s="2">
        <v>20</v>
      </c>
      <c r="G335" s="2">
        <v>8</v>
      </c>
      <c r="H335" s="14" t="str">
        <f>VLOOKUP(flu_group[[#This Row],[trust_code]],trust_lookup[],3,0)</f>
        <v>Whittington</v>
      </c>
      <c r="I335" s="14" t="str">
        <f>VLOOKUP(flu_group[[#This Row],[trust_code]],trust_lookup[],4,0)</f>
        <v>Acute &amp; Community</v>
      </c>
      <c r="K335" s="2" t="s">
        <v>518</v>
      </c>
      <c r="L335" s="2" t="s">
        <v>176</v>
      </c>
      <c r="M335" s="2" t="s">
        <v>177</v>
      </c>
      <c r="N335" s="2" t="s">
        <v>192</v>
      </c>
      <c r="O335" s="2" t="s">
        <v>141</v>
      </c>
      <c r="P335" s="2">
        <v>155</v>
      </c>
      <c r="R335" s="43">
        <v>45705</v>
      </c>
      <c r="S335" s="2">
        <v>8</v>
      </c>
      <c r="T335" s="2" t="s">
        <v>519</v>
      </c>
      <c r="U335" s="2" t="s">
        <v>101</v>
      </c>
      <c r="V335" s="2" t="s">
        <v>102</v>
      </c>
      <c r="W335" s="2" t="s">
        <v>192</v>
      </c>
      <c r="X335" s="23">
        <v>5</v>
      </c>
      <c r="Y335" s="23">
        <v>3581</v>
      </c>
      <c r="Z335" s="23">
        <v>11552</v>
      </c>
      <c r="AA335" s="24">
        <v>0.30998961218836502</v>
      </c>
      <c r="AB335" s="14" t="str">
        <f>VLOOKUP(flu_aw24[[#This Row],[trust_code]],trust_lookup[],3,0)</f>
        <v>Imperial</v>
      </c>
      <c r="AD335" s="43">
        <v>45915</v>
      </c>
      <c r="AE335" s="2">
        <v>38</v>
      </c>
      <c r="AF335" s="2" t="s">
        <v>518</v>
      </c>
      <c r="AG335" s="2" t="s">
        <v>167</v>
      </c>
      <c r="AH335" s="2" t="s">
        <v>168</v>
      </c>
      <c r="AI335" s="2" t="s">
        <v>194</v>
      </c>
      <c r="AJ335" s="23">
        <v>1</v>
      </c>
      <c r="AK335" s="23">
        <v>1</v>
      </c>
      <c r="AL335" s="23">
        <v>2475</v>
      </c>
      <c r="AM335" s="24">
        <v>4.0404040404040399E-4</v>
      </c>
      <c r="AN335" s="44" t="str">
        <f>VLOOKUP(flu_aw25[[#This Row],[trust_code]],trust_lookup[],3,0)</f>
        <v>SWL&amp;StG</v>
      </c>
    </row>
    <row r="336" spans="1:54" x14ac:dyDescent="0.35">
      <c r="A336" s="2" t="s">
        <v>519</v>
      </c>
      <c r="B336" s="2" t="s">
        <v>30</v>
      </c>
      <c r="C336" s="2" t="s">
        <v>31</v>
      </c>
      <c r="D336" s="2" t="s">
        <v>190</v>
      </c>
      <c r="E336" s="2" t="s">
        <v>67</v>
      </c>
      <c r="F336" s="2">
        <v>257</v>
      </c>
      <c r="G336" s="2">
        <v>96</v>
      </c>
      <c r="H336" s="14" t="str">
        <f>VLOOKUP(flu_group[[#This Row],[trust_code]],trust_lookup[],3,0)</f>
        <v>BHR</v>
      </c>
      <c r="I336" s="14" t="str">
        <f>VLOOKUP(flu_group[[#This Row],[trust_code]],trust_lookup[],4,0)</f>
        <v>Acute</v>
      </c>
      <c r="K336" s="2" t="s">
        <v>518</v>
      </c>
      <c r="L336" s="2" t="s">
        <v>176</v>
      </c>
      <c r="M336" s="2" t="s">
        <v>177</v>
      </c>
      <c r="N336" s="2" t="s">
        <v>192</v>
      </c>
      <c r="O336" s="2" t="s">
        <v>61</v>
      </c>
      <c r="P336" s="2">
        <v>11</v>
      </c>
      <c r="R336" s="43">
        <v>45712</v>
      </c>
      <c r="S336" s="2">
        <v>9</v>
      </c>
      <c r="T336" s="2" t="s">
        <v>519</v>
      </c>
      <c r="U336" s="2" t="s">
        <v>101</v>
      </c>
      <c r="V336" s="2" t="s">
        <v>102</v>
      </c>
      <c r="W336" s="2" t="s">
        <v>192</v>
      </c>
      <c r="X336" s="23">
        <v>6</v>
      </c>
      <c r="Y336" s="23">
        <v>3587</v>
      </c>
      <c r="Z336" s="23">
        <v>11552</v>
      </c>
      <c r="AA336" s="24">
        <v>0.31050900277008298</v>
      </c>
      <c r="AB336" s="14" t="str">
        <f>VLOOKUP(flu_aw24[[#This Row],[trust_code]],trust_lookup[],3,0)</f>
        <v>Imperial</v>
      </c>
      <c r="AD336" s="43">
        <v>45922</v>
      </c>
      <c r="AE336" s="2">
        <v>39</v>
      </c>
      <c r="AF336" s="2" t="s">
        <v>518</v>
      </c>
      <c r="AG336" s="2" t="s">
        <v>167</v>
      </c>
      <c r="AH336" s="2" t="s">
        <v>168</v>
      </c>
      <c r="AI336" s="2" t="s">
        <v>194</v>
      </c>
      <c r="AJ336" s="23">
        <v>1</v>
      </c>
      <c r="AK336" s="23">
        <v>2</v>
      </c>
      <c r="AL336" s="23">
        <v>2475</v>
      </c>
      <c r="AM336" s="24">
        <v>8.0808080808080797E-4</v>
      </c>
      <c r="AN336" s="44" t="str">
        <f>VLOOKUP(flu_aw25[[#This Row],[trust_code]],trust_lookup[],3,0)</f>
        <v>SWL&amp;StG</v>
      </c>
    </row>
    <row r="337" spans="1:40" x14ac:dyDescent="0.35">
      <c r="A337" s="2" t="s">
        <v>519</v>
      </c>
      <c r="B337" s="2" t="s">
        <v>30</v>
      </c>
      <c r="C337" s="2" t="s">
        <v>31</v>
      </c>
      <c r="D337" s="2" t="s">
        <v>190</v>
      </c>
      <c r="E337" s="2" t="s">
        <v>81</v>
      </c>
      <c r="F337" s="2">
        <v>1712</v>
      </c>
      <c r="G337" s="2">
        <v>641</v>
      </c>
      <c r="H337" s="14" t="str">
        <f>VLOOKUP(flu_group[[#This Row],[trust_code]],trust_lookup[],3,0)</f>
        <v>BHR</v>
      </c>
      <c r="I337" s="14" t="str">
        <f>VLOOKUP(flu_group[[#This Row],[trust_code]],trust_lookup[],4,0)</f>
        <v>Acute</v>
      </c>
      <c r="K337" s="2" t="s">
        <v>518</v>
      </c>
      <c r="L337" s="2" t="s">
        <v>176</v>
      </c>
      <c r="M337" s="2" t="s">
        <v>177</v>
      </c>
      <c r="N337" s="2" t="s">
        <v>192</v>
      </c>
      <c r="O337" s="2" t="s">
        <v>100</v>
      </c>
      <c r="P337" s="2">
        <v>69</v>
      </c>
      <c r="R337" s="43">
        <v>45726</v>
      </c>
      <c r="S337" s="2">
        <v>11</v>
      </c>
      <c r="T337" s="2" t="s">
        <v>519</v>
      </c>
      <c r="U337" s="2" t="s">
        <v>101</v>
      </c>
      <c r="V337" s="2" t="s">
        <v>102</v>
      </c>
      <c r="W337" s="2" t="s">
        <v>192</v>
      </c>
      <c r="X337" s="23">
        <v>2</v>
      </c>
      <c r="Y337" s="23">
        <v>3589</v>
      </c>
      <c r="Z337" s="23">
        <v>11552</v>
      </c>
      <c r="AA337" s="24">
        <v>0.310682132963988</v>
      </c>
      <c r="AB337" s="14" t="str">
        <f>VLOOKUP(flu_aw24[[#This Row],[trust_code]],trust_lookup[],3,0)</f>
        <v>Imperial</v>
      </c>
      <c r="AD337" s="43">
        <v>45929</v>
      </c>
      <c r="AE337" s="2">
        <v>40</v>
      </c>
      <c r="AF337" s="2" t="s">
        <v>518</v>
      </c>
      <c r="AG337" s="2" t="s">
        <v>167</v>
      </c>
      <c r="AH337" s="2" t="s">
        <v>168</v>
      </c>
      <c r="AI337" s="2" t="s">
        <v>194</v>
      </c>
      <c r="AJ337" s="23">
        <v>134</v>
      </c>
      <c r="AK337" s="23">
        <v>136</v>
      </c>
      <c r="AL337" s="23">
        <v>2475</v>
      </c>
      <c r="AM337" s="24">
        <v>5.4949494949494901E-2</v>
      </c>
      <c r="AN337" s="44" t="str">
        <f>VLOOKUP(flu_aw25[[#This Row],[trust_code]],trust_lookup[],3,0)</f>
        <v>SWL&amp;StG</v>
      </c>
    </row>
    <row r="338" spans="1:40" x14ac:dyDescent="0.35">
      <c r="A338" s="2" t="s">
        <v>519</v>
      </c>
      <c r="B338" s="2" t="s">
        <v>30</v>
      </c>
      <c r="C338" s="2" t="s">
        <v>31</v>
      </c>
      <c r="D338" s="2" t="s">
        <v>190</v>
      </c>
      <c r="E338" s="2" t="s">
        <v>46</v>
      </c>
      <c r="F338" s="2">
        <v>87</v>
      </c>
      <c r="G338" s="2">
        <v>43</v>
      </c>
      <c r="H338" s="14" t="str">
        <f>VLOOKUP(flu_group[[#This Row],[trust_code]],trust_lookup[],3,0)</f>
        <v>BHR</v>
      </c>
      <c r="I338" s="14" t="str">
        <f>VLOOKUP(flu_group[[#This Row],[trust_code]],trust_lookup[],4,0)</f>
        <v>Acute</v>
      </c>
      <c r="K338" s="2" t="s">
        <v>518</v>
      </c>
      <c r="L338" s="2" t="s">
        <v>176</v>
      </c>
      <c r="M338" s="2" t="s">
        <v>177</v>
      </c>
      <c r="N338" s="2" t="s">
        <v>192</v>
      </c>
      <c r="O338" s="2" t="s">
        <v>75</v>
      </c>
      <c r="P338" s="2">
        <v>19</v>
      </c>
      <c r="R338" s="43">
        <v>45733</v>
      </c>
      <c r="S338" s="2">
        <v>12</v>
      </c>
      <c r="T338" s="2" t="s">
        <v>519</v>
      </c>
      <c r="U338" s="2" t="s">
        <v>101</v>
      </c>
      <c r="V338" s="2" t="s">
        <v>102</v>
      </c>
      <c r="W338" s="2" t="s">
        <v>192</v>
      </c>
      <c r="X338" s="23">
        <v>3</v>
      </c>
      <c r="Y338" s="23">
        <v>3592</v>
      </c>
      <c r="Z338" s="23">
        <v>11552</v>
      </c>
      <c r="AA338" s="24">
        <v>0.31094182825484701</v>
      </c>
      <c r="AB338" s="14" t="str">
        <f>VLOOKUP(flu_aw24[[#This Row],[trust_code]],trust_lookup[],3,0)</f>
        <v>Imperial</v>
      </c>
      <c r="AD338" s="43">
        <v>45936</v>
      </c>
      <c r="AE338" s="2">
        <v>41</v>
      </c>
      <c r="AF338" s="2" t="s">
        <v>518</v>
      </c>
      <c r="AG338" s="2" t="s">
        <v>167</v>
      </c>
      <c r="AH338" s="2" t="s">
        <v>168</v>
      </c>
      <c r="AI338" s="2" t="s">
        <v>194</v>
      </c>
      <c r="AJ338" s="23">
        <v>156</v>
      </c>
      <c r="AK338" s="23">
        <v>292</v>
      </c>
      <c r="AL338" s="23">
        <v>2475</v>
      </c>
      <c r="AM338" s="24">
        <v>0.117979797979797</v>
      </c>
      <c r="AN338" s="44" t="str">
        <f>VLOOKUP(flu_aw25[[#This Row],[trust_code]],trust_lookup[],3,0)</f>
        <v>SWL&amp;StG</v>
      </c>
    </row>
    <row r="339" spans="1:40" x14ac:dyDescent="0.35">
      <c r="A339" s="2" t="s">
        <v>519</v>
      </c>
      <c r="B339" s="2" t="s">
        <v>30</v>
      </c>
      <c r="C339" s="2" t="s">
        <v>31</v>
      </c>
      <c r="D339" s="2" t="s">
        <v>190</v>
      </c>
      <c r="E339" s="2" t="s">
        <v>60</v>
      </c>
      <c r="F339" s="2">
        <v>512</v>
      </c>
      <c r="G339" s="2">
        <v>195</v>
      </c>
      <c r="H339" s="14" t="str">
        <f>VLOOKUP(flu_group[[#This Row],[trust_code]],trust_lookup[],3,0)</f>
        <v>BHR</v>
      </c>
      <c r="I339" s="14" t="str">
        <f>VLOOKUP(flu_group[[#This Row],[trust_code]],trust_lookup[],4,0)</f>
        <v>Acute</v>
      </c>
      <c r="K339" s="2" t="s">
        <v>518</v>
      </c>
      <c r="L339" s="2" t="s">
        <v>176</v>
      </c>
      <c r="M339" s="2" t="s">
        <v>177</v>
      </c>
      <c r="N339" s="2" t="s">
        <v>192</v>
      </c>
      <c r="O339" s="2" t="s">
        <v>106</v>
      </c>
      <c r="P339" s="2">
        <v>17</v>
      </c>
      <c r="R339" s="43">
        <v>45740</v>
      </c>
      <c r="S339" s="2">
        <v>13</v>
      </c>
      <c r="T339" s="2" t="s">
        <v>519</v>
      </c>
      <c r="U339" s="2" t="s">
        <v>101</v>
      </c>
      <c r="V339" s="2" t="s">
        <v>102</v>
      </c>
      <c r="W339" s="2" t="s">
        <v>192</v>
      </c>
      <c r="X339" s="23">
        <v>3</v>
      </c>
      <c r="Y339" s="23">
        <v>3595</v>
      </c>
      <c r="Z339" s="23">
        <v>11552</v>
      </c>
      <c r="AA339" s="24">
        <v>0.31120152354570602</v>
      </c>
      <c r="AB339" s="14" t="str">
        <f>VLOOKUP(flu_aw24[[#This Row],[trust_code]],trust_lookup[],3,0)</f>
        <v>Imperial</v>
      </c>
      <c r="AD339" s="43">
        <v>45943</v>
      </c>
      <c r="AE339" s="2">
        <v>42</v>
      </c>
      <c r="AF339" s="2" t="s">
        <v>518</v>
      </c>
      <c r="AG339" s="2" t="s">
        <v>167</v>
      </c>
      <c r="AH339" s="2" t="s">
        <v>168</v>
      </c>
      <c r="AI339" s="2" t="s">
        <v>194</v>
      </c>
      <c r="AJ339" s="23">
        <v>133</v>
      </c>
      <c r="AK339" s="23">
        <v>425</v>
      </c>
      <c r="AL339" s="23">
        <v>2475</v>
      </c>
      <c r="AM339" s="24">
        <v>0.17171717171717099</v>
      </c>
      <c r="AN339" s="44" t="str">
        <f>VLOOKUP(flu_aw25[[#This Row],[trust_code]],trust_lookup[],3,0)</f>
        <v>SWL&amp;StG</v>
      </c>
    </row>
    <row r="340" spans="1:40" x14ac:dyDescent="0.35">
      <c r="A340" s="2" t="s">
        <v>519</v>
      </c>
      <c r="B340" s="2" t="s">
        <v>30</v>
      </c>
      <c r="C340" s="2" t="s">
        <v>31</v>
      </c>
      <c r="D340" s="2" t="s">
        <v>190</v>
      </c>
      <c r="E340" s="2" t="s">
        <v>74</v>
      </c>
      <c r="F340" s="2">
        <v>85</v>
      </c>
      <c r="G340" s="2">
        <v>39</v>
      </c>
      <c r="H340" s="14" t="str">
        <f>VLOOKUP(flu_group[[#This Row],[trust_code]],trust_lookup[],3,0)</f>
        <v>BHR</v>
      </c>
      <c r="I340" s="14" t="str">
        <f>VLOOKUP(flu_group[[#This Row],[trust_code]],trust_lookup[],4,0)</f>
        <v>Acute</v>
      </c>
      <c r="K340" s="2" t="s">
        <v>518</v>
      </c>
      <c r="L340" s="2" t="s">
        <v>176</v>
      </c>
      <c r="M340" s="2" t="s">
        <v>177</v>
      </c>
      <c r="N340" s="2" t="s">
        <v>192</v>
      </c>
      <c r="O340" s="2" t="s">
        <v>112</v>
      </c>
      <c r="P340" s="2">
        <v>70</v>
      </c>
      <c r="R340" s="43">
        <v>45537</v>
      </c>
      <c r="S340" s="2">
        <v>36</v>
      </c>
      <c r="T340" s="2" t="s">
        <v>519</v>
      </c>
      <c r="U340" s="2" t="s">
        <v>107</v>
      </c>
      <c r="V340" s="2" t="s">
        <v>108</v>
      </c>
      <c r="W340" s="2" t="s">
        <v>193</v>
      </c>
      <c r="X340" s="23">
        <v>1</v>
      </c>
      <c r="Y340" s="23">
        <v>1</v>
      </c>
      <c r="Z340" s="23">
        <v>9605</v>
      </c>
      <c r="AA340" s="24">
        <v>1.04112441436751E-4</v>
      </c>
      <c r="AB340" s="14" t="str">
        <f>VLOOKUP(flu_aw24[[#This Row],[trust_code]],trust_lookup[],3,0)</f>
        <v>King's</v>
      </c>
      <c r="AD340" s="43">
        <v>45950</v>
      </c>
      <c r="AE340" s="2">
        <v>43</v>
      </c>
      <c r="AF340" s="2" t="s">
        <v>518</v>
      </c>
      <c r="AG340" s="2" t="s">
        <v>167</v>
      </c>
      <c r="AH340" s="2" t="s">
        <v>168</v>
      </c>
      <c r="AI340" s="2" t="s">
        <v>194</v>
      </c>
      <c r="AJ340" s="23">
        <v>46</v>
      </c>
      <c r="AK340" s="23">
        <v>471</v>
      </c>
      <c r="AL340" s="23">
        <v>2475</v>
      </c>
      <c r="AM340" s="24">
        <v>0.19030303030303</v>
      </c>
      <c r="AN340" s="44" t="str">
        <f>VLOOKUP(flu_aw25[[#This Row],[trust_code]],trust_lookup[],3,0)</f>
        <v>SWL&amp;StG</v>
      </c>
    </row>
    <row r="341" spans="1:40" x14ac:dyDescent="0.35">
      <c r="A341" s="2" t="s">
        <v>519</v>
      </c>
      <c r="B341" s="2" t="s">
        <v>30</v>
      </c>
      <c r="C341" s="2" t="s">
        <v>31</v>
      </c>
      <c r="D341" s="2" t="s">
        <v>190</v>
      </c>
      <c r="E341" s="2" t="s">
        <v>42</v>
      </c>
      <c r="F341" s="2">
        <v>1669</v>
      </c>
      <c r="G341" s="2">
        <v>702</v>
      </c>
      <c r="H341" s="14" t="str">
        <f>VLOOKUP(flu_group[[#This Row],[trust_code]],trust_lookup[],3,0)</f>
        <v>BHR</v>
      </c>
      <c r="I341" s="14" t="str">
        <f>VLOOKUP(flu_group[[#This Row],[trust_code]],trust_lookup[],4,0)</f>
        <v>Acute</v>
      </c>
      <c r="K341" s="2" t="s">
        <v>518</v>
      </c>
      <c r="L341" s="2" t="s">
        <v>176</v>
      </c>
      <c r="M341" s="2" t="s">
        <v>177</v>
      </c>
      <c r="N341" s="2" t="s">
        <v>192</v>
      </c>
      <c r="O341" s="2" t="s">
        <v>36</v>
      </c>
      <c r="P341" s="2">
        <v>42</v>
      </c>
      <c r="R341" s="43">
        <v>45544</v>
      </c>
      <c r="S341" s="2">
        <v>37</v>
      </c>
      <c r="T341" s="2" t="s">
        <v>519</v>
      </c>
      <c r="U341" s="2" t="s">
        <v>107</v>
      </c>
      <c r="V341" s="2" t="s">
        <v>108</v>
      </c>
      <c r="W341" s="2" t="s">
        <v>193</v>
      </c>
      <c r="X341" s="23">
        <v>2</v>
      </c>
      <c r="Y341" s="23">
        <v>3</v>
      </c>
      <c r="Z341" s="23">
        <v>9605</v>
      </c>
      <c r="AA341" s="24">
        <v>3.1233732431025502E-4</v>
      </c>
      <c r="AB341" s="14" t="str">
        <f>VLOOKUP(flu_aw24[[#This Row],[trust_code]],trust_lookup[],3,0)</f>
        <v>King's</v>
      </c>
      <c r="AD341" s="43">
        <v>45957</v>
      </c>
      <c r="AE341" s="2">
        <v>44</v>
      </c>
      <c r="AF341" s="2" t="s">
        <v>518</v>
      </c>
      <c r="AG341" s="2" t="s">
        <v>167</v>
      </c>
      <c r="AH341" s="2" t="s">
        <v>168</v>
      </c>
      <c r="AI341" s="2" t="s">
        <v>194</v>
      </c>
      <c r="AJ341" s="23">
        <v>57</v>
      </c>
      <c r="AK341" s="23">
        <v>528</v>
      </c>
      <c r="AL341" s="23">
        <v>2475</v>
      </c>
      <c r="AM341" s="24">
        <v>0.21333333333333299</v>
      </c>
      <c r="AN341" s="44" t="str">
        <f>VLOOKUP(flu_aw25[[#This Row],[trust_code]],trust_lookup[],3,0)</f>
        <v>SWL&amp;StG</v>
      </c>
    </row>
    <row r="342" spans="1:40" x14ac:dyDescent="0.35">
      <c r="A342" s="2" t="s">
        <v>519</v>
      </c>
      <c r="B342" s="2" t="s">
        <v>30</v>
      </c>
      <c r="C342" s="2" t="s">
        <v>31</v>
      </c>
      <c r="D342" s="2" t="s">
        <v>190</v>
      </c>
      <c r="E342" s="2" t="s">
        <v>53</v>
      </c>
      <c r="F342" s="2">
        <v>2571</v>
      </c>
      <c r="G342" s="2">
        <v>1113</v>
      </c>
      <c r="H342" s="14" t="str">
        <f>VLOOKUP(flu_group[[#This Row],[trust_code]],trust_lookup[],3,0)</f>
        <v>BHR</v>
      </c>
      <c r="I342" s="14" t="str">
        <f>VLOOKUP(flu_group[[#This Row],[trust_code]],trust_lookup[],4,0)</f>
        <v>Acute</v>
      </c>
      <c r="K342" s="2" t="s">
        <v>518</v>
      </c>
      <c r="L342" s="2" t="s">
        <v>187</v>
      </c>
      <c r="M342" s="2" t="s">
        <v>188</v>
      </c>
      <c r="N342" s="2" t="s">
        <v>192</v>
      </c>
      <c r="O342" s="2" t="s">
        <v>68</v>
      </c>
      <c r="P342" s="2">
        <v>467</v>
      </c>
      <c r="R342" s="43">
        <v>45551</v>
      </c>
      <c r="S342" s="2">
        <v>38</v>
      </c>
      <c r="T342" s="2" t="s">
        <v>519</v>
      </c>
      <c r="U342" s="2" t="s">
        <v>107</v>
      </c>
      <c r="V342" s="2" t="s">
        <v>108</v>
      </c>
      <c r="W342" s="2" t="s">
        <v>193</v>
      </c>
      <c r="X342" s="23">
        <v>8</v>
      </c>
      <c r="Y342" s="23">
        <v>11</v>
      </c>
      <c r="Z342" s="23">
        <v>9605</v>
      </c>
      <c r="AA342" s="24">
        <v>1.1452368558042599E-3</v>
      </c>
      <c r="AB342" s="14" t="str">
        <f>VLOOKUP(flu_aw24[[#This Row],[trust_code]],trust_lookup[],3,0)</f>
        <v>King's</v>
      </c>
      <c r="AD342" s="43">
        <v>45964</v>
      </c>
      <c r="AE342" s="2">
        <v>45</v>
      </c>
      <c r="AF342" s="2" t="s">
        <v>518</v>
      </c>
      <c r="AG342" s="2" t="s">
        <v>167</v>
      </c>
      <c r="AH342" s="2" t="s">
        <v>168</v>
      </c>
      <c r="AI342" s="2" t="s">
        <v>194</v>
      </c>
      <c r="AJ342" s="23">
        <v>48</v>
      </c>
      <c r="AK342" s="23">
        <v>576</v>
      </c>
      <c r="AL342" s="23">
        <v>2475</v>
      </c>
      <c r="AM342" s="24">
        <v>0.23272727272727201</v>
      </c>
      <c r="AN342" s="44" t="str">
        <f>VLOOKUP(flu_aw25[[#This Row],[trust_code]],trust_lookup[],3,0)</f>
        <v>SWL&amp;StG</v>
      </c>
    </row>
    <row r="343" spans="1:40" x14ac:dyDescent="0.35">
      <c r="A343" s="2" t="s">
        <v>519</v>
      </c>
      <c r="B343" s="2" t="s">
        <v>30</v>
      </c>
      <c r="C343" s="2" t="s">
        <v>31</v>
      </c>
      <c r="D343" s="2" t="s">
        <v>190</v>
      </c>
      <c r="E343" s="2" t="s">
        <v>35</v>
      </c>
      <c r="F343" s="2">
        <v>40</v>
      </c>
      <c r="G343" s="2">
        <v>9</v>
      </c>
      <c r="H343" s="14" t="str">
        <f>VLOOKUP(flu_group[[#This Row],[trust_code]],trust_lookup[],3,0)</f>
        <v>BHR</v>
      </c>
      <c r="I343" s="14" t="str">
        <f>VLOOKUP(flu_group[[#This Row],[trust_code]],trust_lookup[],4,0)</f>
        <v>Acute</v>
      </c>
      <c r="K343" s="2" t="s">
        <v>518</v>
      </c>
      <c r="L343" s="2" t="s">
        <v>187</v>
      </c>
      <c r="M343" s="2" t="s">
        <v>188</v>
      </c>
      <c r="N343" s="2" t="s">
        <v>192</v>
      </c>
      <c r="O343" s="2" t="s">
        <v>135</v>
      </c>
      <c r="P343" s="2">
        <v>17</v>
      </c>
      <c r="R343" s="43">
        <v>45558</v>
      </c>
      <c r="S343" s="2">
        <v>39</v>
      </c>
      <c r="T343" s="2" t="s">
        <v>519</v>
      </c>
      <c r="U343" s="2" t="s">
        <v>107</v>
      </c>
      <c r="V343" s="2" t="s">
        <v>108</v>
      </c>
      <c r="W343" s="2" t="s">
        <v>193</v>
      </c>
      <c r="X343" s="23">
        <v>12</v>
      </c>
      <c r="Y343" s="23">
        <v>23</v>
      </c>
      <c r="Z343" s="23">
        <v>9605</v>
      </c>
      <c r="AA343" s="24">
        <v>2.3945861530452802E-3</v>
      </c>
      <c r="AB343" s="14" t="str">
        <f>VLOOKUP(flu_aw24[[#This Row],[trust_code]],trust_lookup[],3,0)</f>
        <v>King's</v>
      </c>
      <c r="AD343" s="43">
        <v>45971</v>
      </c>
      <c r="AE343" s="2">
        <v>46</v>
      </c>
      <c r="AF343" s="2" t="s">
        <v>518</v>
      </c>
      <c r="AG343" s="2" t="s">
        <v>167</v>
      </c>
      <c r="AH343" s="2" t="s">
        <v>168</v>
      </c>
      <c r="AI343" s="2" t="s">
        <v>194</v>
      </c>
      <c r="AJ343" s="23">
        <v>71</v>
      </c>
      <c r="AK343" s="23">
        <v>647</v>
      </c>
      <c r="AL343" s="23">
        <v>2475</v>
      </c>
      <c r="AM343" s="24">
        <v>0.26141414141414099</v>
      </c>
      <c r="AN343" s="44" t="str">
        <f>VLOOKUP(flu_aw25[[#This Row],[trust_code]],trust_lookup[],3,0)</f>
        <v>SWL&amp;StG</v>
      </c>
    </row>
    <row r="344" spans="1:40" x14ac:dyDescent="0.35">
      <c r="A344" s="2" t="s">
        <v>519</v>
      </c>
      <c r="B344" s="2" t="s">
        <v>37</v>
      </c>
      <c r="C344" s="2" t="s">
        <v>38</v>
      </c>
      <c r="D344" s="2" t="s">
        <v>190</v>
      </c>
      <c r="E344" s="2" t="s">
        <v>67</v>
      </c>
      <c r="F344" s="2">
        <v>935</v>
      </c>
      <c r="G344" s="2">
        <v>203</v>
      </c>
      <c r="H344" s="14" t="str">
        <f>VLOOKUP(flu_group[[#This Row],[trust_code]],trust_lookup[],3,0)</f>
        <v>Barts</v>
      </c>
      <c r="I344" s="14" t="str">
        <f>VLOOKUP(flu_group[[#This Row],[trust_code]],trust_lookup[],4,0)</f>
        <v>Acute</v>
      </c>
      <c r="K344" s="2" t="s">
        <v>518</v>
      </c>
      <c r="L344" s="2" t="s">
        <v>187</v>
      </c>
      <c r="M344" s="2" t="s">
        <v>188</v>
      </c>
      <c r="N344" s="2" t="s">
        <v>192</v>
      </c>
      <c r="O344" s="2" t="s">
        <v>54</v>
      </c>
      <c r="P344" s="2">
        <v>141</v>
      </c>
      <c r="R344" s="43">
        <v>45565</v>
      </c>
      <c r="S344" s="2">
        <v>40</v>
      </c>
      <c r="T344" s="2" t="s">
        <v>519</v>
      </c>
      <c r="U344" s="2" t="s">
        <v>107</v>
      </c>
      <c r="V344" s="2" t="s">
        <v>108</v>
      </c>
      <c r="W344" s="2" t="s">
        <v>193</v>
      </c>
      <c r="X344" s="23">
        <v>208</v>
      </c>
      <c r="Y344" s="23">
        <v>231</v>
      </c>
      <c r="Z344" s="23">
        <v>9605</v>
      </c>
      <c r="AA344" s="24">
        <v>2.4049973971889599E-2</v>
      </c>
      <c r="AB344" s="14" t="str">
        <f>VLOOKUP(flu_aw24[[#This Row],[trust_code]],trust_lookup[],3,0)</f>
        <v>King's</v>
      </c>
      <c r="AD344" s="43">
        <v>45978</v>
      </c>
      <c r="AE344" s="2">
        <v>47</v>
      </c>
      <c r="AF344" s="2" t="s">
        <v>518</v>
      </c>
      <c r="AG344" s="2" t="s">
        <v>167</v>
      </c>
      <c r="AH344" s="2" t="s">
        <v>168</v>
      </c>
      <c r="AI344" s="2" t="s">
        <v>194</v>
      </c>
      <c r="AJ344" s="23">
        <v>45</v>
      </c>
      <c r="AK344" s="23">
        <v>692</v>
      </c>
      <c r="AL344" s="23">
        <v>2475</v>
      </c>
      <c r="AM344" s="24">
        <v>0.27959595959595901</v>
      </c>
      <c r="AN344" s="44" t="str">
        <f>VLOOKUP(flu_aw25[[#This Row],[trust_code]],trust_lookup[],3,0)</f>
        <v>SWL&amp;StG</v>
      </c>
    </row>
    <row r="345" spans="1:40" x14ac:dyDescent="0.35">
      <c r="A345" s="2" t="s">
        <v>519</v>
      </c>
      <c r="B345" s="2" t="s">
        <v>37</v>
      </c>
      <c r="C345" s="2" t="s">
        <v>38</v>
      </c>
      <c r="D345" s="2" t="s">
        <v>190</v>
      </c>
      <c r="E345" s="2" t="s">
        <v>81</v>
      </c>
      <c r="F345" s="2">
        <v>3292</v>
      </c>
      <c r="G345" s="2">
        <v>628</v>
      </c>
      <c r="H345" s="14" t="str">
        <f>VLOOKUP(flu_group[[#This Row],[trust_code]],trust_lookup[],3,0)</f>
        <v>Barts</v>
      </c>
      <c r="I345" s="14" t="str">
        <f>VLOOKUP(flu_group[[#This Row],[trust_code]],trust_lookup[],4,0)</f>
        <v>Acute</v>
      </c>
      <c r="K345" s="2" t="s">
        <v>518</v>
      </c>
      <c r="L345" s="2" t="s">
        <v>187</v>
      </c>
      <c r="M345" s="2" t="s">
        <v>188</v>
      </c>
      <c r="N345" s="2" t="s">
        <v>192</v>
      </c>
      <c r="O345" s="2" t="s">
        <v>129</v>
      </c>
      <c r="P345" s="2">
        <v>14</v>
      </c>
      <c r="R345" s="43">
        <v>45572</v>
      </c>
      <c r="S345" s="2">
        <v>41</v>
      </c>
      <c r="T345" s="2" t="s">
        <v>519</v>
      </c>
      <c r="U345" s="2" t="s">
        <v>107</v>
      </c>
      <c r="V345" s="2" t="s">
        <v>108</v>
      </c>
      <c r="W345" s="2" t="s">
        <v>193</v>
      </c>
      <c r="X345" s="23">
        <v>629</v>
      </c>
      <c r="Y345" s="23">
        <v>860</v>
      </c>
      <c r="Z345" s="23">
        <v>9605</v>
      </c>
      <c r="AA345" s="24">
        <v>8.9536699635606398E-2</v>
      </c>
      <c r="AB345" s="14" t="str">
        <f>VLOOKUP(flu_aw24[[#This Row],[trust_code]],trust_lookup[],3,0)</f>
        <v>King's</v>
      </c>
      <c r="AD345" s="43">
        <v>45985</v>
      </c>
      <c r="AE345" s="2">
        <v>48</v>
      </c>
      <c r="AF345" s="2" t="s">
        <v>518</v>
      </c>
      <c r="AG345" s="2" t="s">
        <v>167</v>
      </c>
      <c r="AH345" s="2" t="s">
        <v>168</v>
      </c>
      <c r="AI345" s="2" t="s">
        <v>194</v>
      </c>
      <c r="AJ345" s="23">
        <v>57</v>
      </c>
      <c r="AK345" s="23">
        <v>749</v>
      </c>
      <c r="AL345" s="23">
        <v>2475</v>
      </c>
      <c r="AM345" s="24">
        <v>0.30262626262626202</v>
      </c>
      <c r="AN345" s="44" t="str">
        <f>VLOOKUP(flu_aw25[[#This Row],[trust_code]],trust_lookup[],3,0)</f>
        <v>SWL&amp;StG</v>
      </c>
    </row>
    <row r="346" spans="1:40" x14ac:dyDescent="0.35">
      <c r="A346" s="2" t="s">
        <v>519</v>
      </c>
      <c r="B346" s="2" t="s">
        <v>37</v>
      </c>
      <c r="C346" s="2" t="s">
        <v>38</v>
      </c>
      <c r="D346" s="2" t="s">
        <v>190</v>
      </c>
      <c r="E346" s="2" t="s">
        <v>46</v>
      </c>
      <c r="F346" s="2">
        <v>1278</v>
      </c>
      <c r="G346" s="2">
        <v>237</v>
      </c>
      <c r="H346" s="14" t="str">
        <f>VLOOKUP(flu_group[[#This Row],[trust_code]],trust_lookup[],3,0)</f>
        <v>Barts</v>
      </c>
      <c r="I346" s="14" t="str">
        <f>VLOOKUP(flu_group[[#This Row],[trust_code]],trust_lookup[],4,0)</f>
        <v>Acute</v>
      </c>
      <c r="K346" s="2" t="s">
        <v>518</v>
      </c>
      <c r="L346" s="2" t="s">
        <v>187</v>
      </c>
      <c r="M346" s="2" t="s">
        <v>188</v>
      </c>
      <c r="N346" s="2" t="s">
        <v>192</v>
      </c>
      <c r="O346" s="2" t="s">
        <v>47</v>
      </c>
      <c r="P346" s="2">
        <v>22</v>
      </c>
      <c r="R346" s="43">
        <v>45579</v>
      </c>
      <c r="S346" s="2">
        <v>42</v>
      </c>
      <c r="T346" s="2" t="s">
        <v>519</v>
      </c>
      <c r="U346" s="2" t="s">
        <v>107</v>
      </c>
      <c r="V346" s="2" t="s">
        <v>108</v>
      </c>
      <c r="W346" s="2" t="s">
        <v>193</v>
      </c>
      <c r="X346" s="23">
        <v>532</v>
      </c>
      <c r="Y346" s="23">
        <v>1392</v>
      </c>
      <c r="Z346" s="23">
        <v>9605</v>
      </c>
      <c r="AA346" s="24">
        <v>0.14492451847995799</v>
      </c>
      <c r="AB346" s="14" t="str">
        <f>VLOOKUP(flu_aw24[[#This Row],[trust_code]],trust_lookup[],3,0)</f>
        <v>King's</v>
      </c>
      <c r="AD346" s="43">
        <v>45992</v>
      </c>
      <c r="AE346" s="2">
        <v>49</v>
      </c>
      <c r="AF346" s="2" t="s">
        <v>518</v>
      </c>
      <c r="AG346" s="2" t="s">
        <v>167</v>
      </c>
      <c r="AH346" s="2" t="s">
        <v>168</v>
      </c>
      <c r="AI346" s="2" t="s">
        <v>194</v>
      </c>
      <c r="AJ346" s="23">
        <v>19</v>
      </c>
      <c r="AK346" s="23">
        <v>768</v>
      </c>
      <c r="AL346" s="23">
        <v>2475</v>
      </c>
      <c r="AM346" s="24">
        <v>0.31030303030303003</v>
      </c>
      <c r="AN346" s="44" t="str">
        <f>VLOOKUP(flu_aw25[[#This Row],[trust_code]],trust_lookup[],3,0)</f>
        <v>SWL&amp;StG</v>
      </c>
    </row>
    <row r="347" spans="1:40" x14ac:dyDescent="0.35">
      <c r="A347" s="2" t="s">
        <v>519</v>
      </c>
      <c r="B347" s="2" t="s">
        <v>37</v>
      </c>
      <c r="C347" s="2" t="s">
        <v>38</v>
      </c>
      <c r="D347" s="2" t="s">
        <v>190</v>
      </c>
      <c r="E347" s="2" t="s">
        <v>60</v>
      </c>
      <c r="F347" s="2">
        <v>1698</v>
      </c>
      <c r="G347" s="2">
        <v>467</v>
      </c>
      <c r="H347" s="14" t="str">
        <f>VLOOKUP(flu_group[[#This Row],[trust_code]],trust_lookup[],3,0)</f>
        <v>Barts</v>
      </c>
      <c r="I347" s="14" t="str">
        <f>VLOOKUP(flu_group[[#This Row],[trust_code]],trust_lookup[],4,0)</f>
        <v>Acute</v>
      </c>
      <c r="K347" s="2" t="s">
        <v>518</v>
      </c>
      <c r="L347" s="2" t="s">
        <v>187</v>
      </c>
      <c r="M347" s="2" t="s">
        <v>188</v>
      </c>
      <c r="N347" s="2" t="s">
        <v>192</v>
      </c>
      <c r="O347" s="2" t="s">
        <v>94</v>
      </c>
      <c r="P347" s="2">
        <v>13</v>
      </c>
      <c r="R347" s="43">
        <v>45586</v>
      </c>
      <c r="S347" s="2">
        <v>43</v>
      </c>
      <c r="T347" s="2" t="s">
        <v>519</v>
      </c>
      <c r="U347" s="2" t="s">
        <v>107</v>
      </c>
      <c r="V347" s="2" t="s">
        <v>108</v>
      </c>
      <c r="W347" s="2" t="s">
        <v>193</v>
      </c>
      <c r="X347" s="23">
        <v>321</v>
      </c>
      <c r="Y347" s="23">
        <v>1713</v>
      </c>
      <c r="Z347" s="23">
        <v>9605</v>
      </c>
      <c r="AA347" s="24">
        <v>0.17834461218115499</v>
      </c>
      <c r="AB347" s="14" t="str">
        <f>VLOOKUP(flu_aw24[[#This Row],[trust_code]],trust_lookup[],3,0)</f>
        <v>King's</v>
      </c>
      <c r="AD347" s="43">
        <v>45999</v>
      </c>
      <c r="AE347" s="2">
        <v>50</v>
      </c>
      <c r="AF347" s="2" t="s">
        <v>518</v>
      </c>
      <c r="AG347" s="2" t="s">
        <v>167</v>
      </c>
      <c r="AH347" s="2" t="s">
        <v>168</v>
      </c>
      <c r="AI347" s="2" t="s">
        <v>194</v>
      </c>
      <c r="AJ347" s="23">
        <v>40</v>
      </c>
      <c r="AK347" s="23">
        <v>808</v>
      </c>
      <c r="AL347" s="23">
        <v>2475</v>
      </c>
      <c r="AM347" s="24">
        <v>0.32646464646464601</v>
      </c>
      <c r="AN347" s="44" t="str">
        <f>VLOOKUP(flu_aw25[[#This Row],[trust_code]],trust_lookup[],3,0)</f>
        <v>SWL&amp;StG</v>
      </c>
    </row>
    <row r="348" spans="1:40" x14ac:dyDescent="0.35">
      <c r="A348" s="2" t="s">
        <v>519</v>
      </c>
      <c r="B348" s="2" t="s">
        <v>37</v>
      </c>
      <c r="C348" s="2" t="s">
        <v>38</v>
      </c>
      <c r="D348" s="2" t="s">
        <v>190</v>
      </c>
      <c r="E348" s="2" t="s">
        <v>28</v>
      </c>
      <c r="F348" s="2">
        <v>1462</v>
      </c>
      <c r="G348" s="2">
        <v>305</v>
      </c>
      <c r="H348" s="14" t="str">
        <f>VLOOKUP(flu_group[[#This Row],[trust_code]],trust_lookup[],3,0)</f>
        <v>Barts</v>
      </c>
      <c r="I348" s="14" t="str">
        <f>VLOOKUP(flu_group[[#This Row],[trust_code]],trust_lookup[],4,0)</f>
        <v>Acute</v>
      </c>
      <c r="K348" s="2" t="s">
        <v>518</v>
      </c>
      <c r="L348" s="2" t="s">
        <v>187</v>
      </c>
      <c r="M348" s="2" t="s">
        <v>188</v>
      </c>
      <c r="N348" s="2" t="s">
        <v>192</v>
      </c>
      <c r="O348" s="2" t="s">
        <v>29</v>
      </c>
      <c r="P348" s="2">
        <v>21</v>
      </c>
      <c r="R348" s="43">
        <v>45593</v>
      </c>
      <c r="S348" s="2">
        <v>44</v>
      </c>
      <c r="T348" s="2" t="s">
        <v>519</v>
      </c>
      <c r="U348" s="2" t="s">
        <v>107</v>
      </c>
      <c r="V348" s="2" t="s">
        <v>108</v>
      </c>
      <c r="W348" s="2" t="s">
        <v>193</v>
      </c>
      <c r="X348" s="23">
        <v>262</v>
      </c>
      <c r="Y348" s="23">
        <v>1975</v>
      </c>
      <c r="Z348" s="23">
        <v>9605</v>
      </c>
      <c r="AA348" s="24">
        <v>0.20562207183758399</v>
      </c>
      <c r="AB348" s="14" t="str">
        <f>VLOOKUP(flu_aw24[[#This Row],[trust_code]],trust_lookup[],3,0)</f>
        <v>King's</v>
      </c>
      <c r="AD348" s="43">
        <v>46006</v>
      </c>
      <c r="AE348" s="2">
        <v>51</v>
      </c>
      <c r="AF348" s="2" t="s">
        <v>518</v>
      </c>
      <c r="AG348" s="2" t="s">
        <v>167</v>
      </c>
      <c r="AH348" s="2" t="s">
        <v>168</v>
      </c>
      <c r="AI348" s="2" t="s">
        <v>194</v>
      </c>
      <c r="AJ348" s="23">
        <v>33</v>
      </c>
      <c r="AK348" s="23">
        <v>841</v>
      </c>
      <c r="AL348" s="23">
        <v>2475</v>
      </c>
      <c r="AM348" s="24">
        <v>0.33979797979797899</v>
      </c>
      <c r="AN348" s="44" t="str">
        <f>VLOOKUP(flu_aw25[[#This Row],[trust_code]],trust_lookup[],3,0)</f>
        <v>SWL&amp;StG</v>
      </c>
    </row>
    <row r="349" spans="1:40" x14ac:dyDescent="0.35">
      <c r="A349" s="2" t="s">
        <v>519</v>
      </c>
      <c r="B349" s="2" t="s">
        <v>37</v>
      </c>
      <c r="C349" s="2" t="s">
        <v>38</v>
      </c>
      <c r="D349" s="2" t="s">
        <v>190</v>
      </c>
      <c r="E349" s="2" t="s">
        <v>74</v>
      </c>
      <c r="F349" s="2">
        <v>334</v>
      </c>
      <c r="G349" s="2">
        <v>104</v>
      </c>
      <c r="H349" s="14" t="str">
        <f>VLOOKUP(flu_group[[#This Row],[trust_code]],trust_lookup[],3,0)</f>
        <v>Barts</v>
      </c>
      <c r="I349" s="14" t="str">
        <f>VLOOKUP(flu_group[[#This Row],[trust_code]],trust_lookup[],4,0)</f>
        <v>Acute</v>
      </c>
      <c r="K349" s="2" t="s">
        <v>518</v>
      </c>
      <c r="L349" s="2" t="s">
        <v>187</v>
      </c>
      <c r="M349" s="2" t="s">
        <v>188</v>
      </c>
      <c r="N349" s="2" t="s">
        <v>192</v>
      </c>
      <c r="O349" s="2" t="s">
        <v>123</v>
      </c>
      <c r="P349" s="2">
        <v>151</v>
      </c>
      <c r="R349" s="43">
        <v>45600</v>
      </c>
      <c r="S349" s="2">
        <v>45</v>
      </c>
      <c r="T349" s="2" t="s">
        <v>519</v>
      </c>
      <c r="U349" s="2" t="s">
        <v>107</v>
      </c>
      <c r="V349" s="2" t="s">
        <v>108</v>
      </c>
      <c r="W349" s="2" t="s">
        <v>193</v>
      </c>
      <c r="X349" s="23">
        <v>259</v>
      </c>
      <c r="Y349" s="23">
        <v>2234</v>
      </c>
      <c r="Z349" s="23">
        <v>9605</v>
      </c>
      <c r="AA349" s="24">
        <v>0.232587194169703</v>
      </c>
      <c r="AB349" s="14" t="str">
        <f>VLOOKUP(flu_aw24[[#This Row],[trust_code]],trust_lookup[],3,0)</f>
        <v>King's</v>
      </c>
      <c r="AD349" s="43">
        <v>46013</v>
      </c>
      <c r="AE349" s="2">
        <v>52</v>
      </c>
      <c r="AF349" s="2" t="s">
        <v>518</v>
      </c>
      <c r="AG349" s="2" t="s">
        <v>167</v>
      </c>
      <c r="AH349" s="2" t="s">
        <v>168</v>
      </c>
      <c r="AI349" s="2" t="s">
        <v>194</v>
      </c>
      <c r="AJ349" s="23">
        <v>6</v>
      </c>
      <c r="AK349" s="23">
        <v>847</v>
      </c>
      <c r="AL349" s="23">
        <v>2475</v>
      </c>
      <c r="AM349" s="24">
        <v>0.34222222222222198</v>
      </c>
      <c r="AN349" s="44" t="str">
        <f>VLOOKUP(flu_aw25[[#This Row],[trust_code]],trust_lookup[],3,0)</f>
        <v>SWL&amp;StG</v>
      </c>
    </row>
    <row r="350" spans="1:40" x14ac:dyDescent="0.35">
      <c r="A350" s="2" t="s">
        <v>519</v>
      </c>
      <c r="B350" s="2" t="s">
        <v>37</v>
      </c>
      <c r="C350" s="2" t="s">
        <v>38</v>
      </c>
      <c r="D350" s="2" t="s">
        <v>190</v>
      </c>
      <c r="E350" s="2" t="s">
        <v>42</v>
      </c>
      <c r="F350" s="2">
        <v>6444</v>
      </c>
      <c r="G350" s="2">
        <v>2442</v>
      </c>
      <c r="H350" s="14" t="str">
        <f>VLOOKUP(flu_group[[#This Row],[trust_code]],trust_lookup[],3,0)</f>
        <v>Barts</v>
      </c>
      <c r="I350" s="14" t="str">
        <f>VLOOKUP(flu_group[[#This Row],[trust_code]],trust_lookup[],4,0)</f>
        <v>Acute</v>
      </c>
      <c r="K350" s="2" t="s">
        <v>518</v>
      </c>
      <c r="L350" s="2" t="s">
        <v>187</v>
      </c>
      <c r="M350" s="2" t="s">
        <v>188</v>
      </c>
      <c r="N350" s="2" t="s">
        <v>192</v>
      </c>
      <c r="O350" s="2" t="s">
        <v>82</v>
      </c>
      <c r="P350" s="2">
        <v>19</v>
      </c>
      <c r="R350" s="43">
        <v>45607</v>
      </c>
      <c r="S350" s="2">
        <v>46</v>
      </c>
      <c r="T350" s="2" t="s">
        <v>519</v>
      </c>
      <c r="U350" s="2" t="s">
        <v>107</v>
      </c>
      <c r="V350" s="2" t="s">
        <v>108</v>
      </c>
      <c r="W350" s="2" t="s">
        <v>193</v>
      </c>
      <c r="X350" s="23">
        <v>347</v>
      </c>
      <c r="Y350" s="23">
        <v>2581</v>
      </c>
      <c r="Z350" s="23">
        <v>9605</v>
      </c>
      <c r="AA350" s="24">
        <v>0.26871421134825602</v>
      </c>
      <c r="AB350" s="14" t="str">
        <f>VLOOKUP(flu_aw24[[#This Row],[trust_code]],trust_lookup[],3,0)</f>
        <v>King's</v>
      </c>
      <c r="AD350" s="43">
        <v>46020</v>
      </c>
      <c r="AE350" s="2">
        <v>1</v>
      </c>
      <c r="AF350" s="2" t="s">
        <v>518</v>
      </c>
      <c r="AG350" s="2" t="s">
        <v>167</v>
      </c>
      <c r="AH350" s="2" t="s">
        <v>168</v>
      </c>
      <c r="AI350" s="2" t="s">
        <v>194</v>
      </c>
      <c r="AJ350" s="23">
        <v>4</v>
      </c>
      <c r="AK350" s="23">
        <v>851</v>
      </c>
      <c r="AL350" s="23">
        <v>2475</v>
      </c>
      <c r="AM350" s="24">
        <v>0.343838383838383</v>
      </c>
      <c r="AN350" s="44" t="str">
        <f>VLOOKUP(flu_aw25[[#This Row],[trust_code]],trust_lookup[],3,0)</f>
        <v>SWL&amp;StG</v>
      </c>
    </row>
    <row r="351" spans="1:40" x14ac:dyDescent="0.35">
      <c r="A351" s="2" t="s">
        <v>519</v>
      </c>
      <c r="B351" s="2" t="s">
        <v>37</v>
      </c>
      <c r="C351" s="2" t="s">
        <v>38</v>
      </c>
      <c r="D351" s="2" t="s">
        <v>190</v>
      </c>
      <c r="E351" s="2" t="s">
        <v>53</v>
      </c>
      <c r="F351" s="2">
        <v>5891</v>
      </c>
      <c r="G351" s="2">
        <v>1403</v>
      </c>
      <c r="H351" s="14" t="str">
        <f>VLOOKUP(flu_group[[#This Row],[trust_code]],trust_lookup[],3,0)</f>
        <v>Barts</v>
      </c>
      <c r="I351" s="14" t="str">
        <f>VLOOKUP(flu_group[[#This Row],[trust_code]],trust_lookup[],4,0)</f>
        <v>Acute</v>
      </c>
      <c r="K351" s="2" t="s">
        <v>518</v>
      </c>
      <c r="L351" s="2" t="s">
        <v>187</v>
      </c>
      <c r="M351" s="2" t="s">
        <v>188</v>
      </c>
      <c r="N351" s="2" t="s">
        <v>192</v>
      </c>
      <c r="O351" s="2" t="s">
        <v>88</v>
      </c>
      <c r="P351" s="2">
        <v>25</v>
      </c>
      <c r="R351" s="43">
        <v>45614</v>
      </c>
      <c r="S351" s="2">
        <v>47</v>
      </c>
      <c r="T351" s="2" t="s">
        <v>519</v>
      </c>
      <c r="U351" s="2" t="s">
        <v>107</v>
      </c>
      <c r="V351" s="2" t="s">
        <v>108</v>
      </c>
      <c r="W351" s="2" t="s">
        <v>193</v>
      </c>
      <c r="X351" s="23">
        <v>227</v>
      </c>
      <c r="Y351" s="23">
        <v>2808</v>
      </c>
      <c r="Z351" s="23">
        <v>9605</v>
      </c>
      <c r="AA351" s="24">
        <v>0.29234773555439802</v>
      </c>
      <c r="AB351" s="14" t="str">
        <f>VLOOKUP(flu_aw24[[#This Row],[trust_code]],trust_lookup[],3,0)</f>
        <v>King's</v>
      </c>
      <c r="AD351" s="43">
        <v>46027</v>
      </c>
      <c r="AE351" s="2">
        <v>2</v>
      </c>
      <c r="AF351" s="2" t="s">
        <v>518</v>
      </c>
      <c r="AG351" s="2" t="s">
        <v>167</v>
      </c>
      <c r="AH351" s="2" t="s">
        <v>168</v>
      </c>
      <c r="AI351" s="2" t="s">
        <v>194</v>
      </c>
      <c r="AJ351" s="23">
        <v>2</v>
      </c>
      <c r="AK351" s="23">
        <v>853</v>
      </c>
      <c r="AL351" s="23">
        <v>2475</v>
      </c>
      <c r="AM351" s="24">
        <v>0.34464646464646398</v>
      </c>
      <c r="AN351" s="44" t="str">
        <f>VLOOKUP(flu_aw25[[#This Row],[trust_code]],trust_lookup[],3,0)</f>
        <v>SWL&amp;StG</v>
      </c>
    </row>
    <row r="352" spans="1:40" x14ac:dyDescent="0.35">
      <c r="A352" s="2" t="s">
        <v>519</v>
      </c>
      <c r="B352" s="2" t="s">
        <v>37</v>
      </c>
      <c r="C352" s="2" t="s">
        <v>38</v>
      </c>
      <c r="D352" s="2" t="s">
        <v>190</v>
      </c>
      <c r="E352" s="2" t="s">
        <v>35</v>
      </c>
      <c r="F352" s="2">
        <v>29</v>
      </c>
      <c r="G352" s="2">
        <v>4</v>
      </c>
      <c r="H352" s="14" t="str">
        <f>VLOOKUP(flu_group[[#This Row],[trust_code]],trust_lookup[],3,0)</f>
        <v>Barts</v>
      </c>
      <c r="I352" s="14" t="str">
        <f>VLOOKUP(flu_group[[#This Row],[trust_code]],trust_lookup[],4,0)</f>
        <v>Acute</v>
      </c>
      <c r="K352" s="2" t="s">
        <v>518</v>
      </c>
      <c r="L352" s="2" t="s">
        <v>187</v>
      </c>
      <c r="M352" s="2" t="s">
        <v>188</v>
      </c>
      <c r="N352" s="2" t="s">
        <v>192</v>
      </c>
      <c r="O352" s="2" t="s">
        <v>141</v>
      </c>
      <c r="P352" s="2">
        <v>129</v>
      </c>
      <c r="R352" s="43">
        <v>45621</v>
      </c>
      <c r="S352" s="2">
        <v>48</v>
      </c>
      <c r="T352" s="2" t="s">
        <v>519</v>
      </c>
      <c r="U352" s="2" t="s">
        <v>107</v>
      </c>
      <c r="V352" s="2" t="s">
        <v>108</v>
      </c>
      <c r="W352" s="2" t="s">
        <v>193</v>
      </c>
      <c r="X352" s="23">
        <v>193</v>
      </c>
      <c r="Y352" s="23">
        <v>3001</v>
      </c>
      <c r="Z352" s="23">
        <v>9605</v>
      </c>
      <c r="AA352" s="24">
        <v>0.312441436751691</v>
      </c>
      <c r="AB352" s="14" t="str">
        <f>VLOOKUP(flu_aw24[[#This Row],[trust_code]],trust_lookup[],3,0)</f>
        <v>King's</v>
      </c>
      <c r="AD352" s="43">
        <v>46034</v>
      </c>
      <c r="AE352" s="2">
        <v>3</v>
      </c>
      <c r="AF352" s="2" t="s">
        <v>518</v>
      </c>
      <c r="AG352" s="2" t="s">
        <v>167</v>
      </c>
      <c r="AH352" s="2" t="s">
        <v>168</v>
      </c>
      <c r="AI352" s="2" t="s">
        <v>194</v>
      </c>
      <c r="AJ352" s="23">
        <v>6</v>
      </c>
      <c r="AK352" s="23">
        <v>859</v>
      </c>
      <c r="AL352" s="23">
        <v>2475</v>
      </c>
      <c r="AM352" s="24">
        <v>0.34707070707070697</v>
      </c>
      <c r="AN352" s="44" t="str">
        <f>VLOOKUP(flu_aw25[[#This Row],[trust_code]],trust_lookup[],3,0)</f>
        <v>SWL&amp;StG</v>
      </c>
    </row>
    <row r="353" spans="1:40" x14ac:dyDescent="0.35">
      <c r="A353" s="2" t="s">
        <v>519</v>
      </c>
      <c r="B353" s="2" t="s">
        <v>69</v>
      </c>
      <c r="C353" s="2" t="s">
        <v>70</v>
      </c>
      <c r="D353" s="2" t="s">
        <v>190</v>
      </c>
      <c r="E353" s="2" t="s">
        <v>67</v>
      </c>
      <c r="F353" s="2">
        <v>943</v>
      </c>
      <c r="G353" s="2">
        <v>278</v>
      </c>
      <c r="H353" s="14" t="str">
        <f>VLOOKUP(flu_group[[#This Row],[trust_code]],trust_lookup[],3,0)</f>
        <v>ELFT</v>
      </c>
      <c r="I353" s="14" t="str">
        <f>VLOOKUP(flu_group[[#This Row],[trust_code]],trust_lookup[],4,0)</f>
        <v>Mental Health &amp; Community</v>
      </c>
      <c r="K353" s="2" t="s">
        <v>518</v>
      </c>
      <c r="L353" s="2" t="s">
        <v>187</v>
      </c>
      <c r="M353" s="2" t="s">
        <v>188</v>
      </c>
      <c r="N353" s="2" t="s">
        <v>192</v>
      </c>
      <c r="O353" s="2" t="s">
        <v>61</v>
      </c>
      <c r="P353" s="2">
        <v>29</v>
      </c>
      <c r="R353" s="43">
        <v>45628</v>
      </c>
      <c r="S353" s="2">
        <v>49</v>
      </c>
      <c r="T353" s="2" t="s">
        <v>519</v>
      </c>
      <c r="U353" s="2" t="s">
        <v>107</v>
      </c>
      <c r="V353" s="2" t="s">
        <v>108</v>
      </c>
      <c r="W353" s="2" t="s">
        <v>193</v>
      </c>
      <c r="X353" s="23">
        <v>153</v>
      </c>
      <c r="Y353" s="23">
        <v>3154</v>
      </c>
      <c r="Z353" s="23">
        <v>9605</v>
      </c>
      <c r="AA353" s="24">
        <v>0.32837064029151403</v>
      </c>
      <c r="AB353" s="14" t="str">
        <f>VLOOKUP(flu_aw24[[#This Row],[trust_code]],trust_lookup[],3,0)</f>
        <v>King's</v>
      </c>
      <c r="AD353" s="43">
        <v>46041</v>
      </c>
      <c r="AE353" s="2">
        <v>4</v>
      </c>
      <c r="AF353" s="2" t="s">
        <v>518</v>
      </c>
      <c r="AG353" s="2" t="s">
        <v>167</v>
      </c>
      <c r="AH353" s="2" t="s">
        <v>168</v>
      </c>
      <c r="AI353" s="2" t="s">
        <v>194</v>
      </c>
      <c r="AJ353" s="23">
        <v>2</v>
      </c>
      <c r="AK353" s="23">
        <v>861</v>
      </c>
      <c r="AL353" s="23">
        <v>2475</v>
      </c>
      <c r="AM353" s="24">
        <v>0.34787878787878701</v>
      </c>
      <c r="AN353" s="44" t="str">
        <f>VLOOKUP(flu_aw25[[#This Row],[trust_code]],trust_lookup[],3,0)</f>
        <v>SWL&amp;StG</v>
      </c>
    </row>
    <row r="354" spans="1:40" x14ac:dyDescent="0.35">
      <c r="A354" s="2" t="s">
        <v>519</v>
      </c>
      <c r="B354" s="2" t="s">
        <v>69</v>
      </c>
      <c r="C354" s="2" t="s">
        <v>70</v>
      </c>
      <c r="D354" s="2" t="s">
        <v>190</v>
      </c>
      <c r="E354" s="2" t="s">
        <v>81</v>
      </c>
      <c r="F354" s="2">
        <v>2827</v>
      </c>
      <c r="G354" s="2">
        <v>596</v>
      </c>
      <c r="H354" s="14" t="str">
        <f>VLOOKUP(flu_group[[#This Row],[trust_code]],trust_lookup[],3,0)</f>
        <v>ELFT</v>
      </c>
      <c r="I354" s="14" t="str">
        <f>VLOOKUP(flu_group[[#This Row],[trust_code]],trust_lookup[],4,0)</f>
        <v>Mental Health &amp; Community</v>
      </c>
      <c r="K354" s="2" t="s">
        <v>518</v>
      </c>
      <c r="L354" s="2" t="s">
        <v>187</v>
      </c>
      <c r="M354" s="2" t="s">
        <v>188</v>
      </c>
      <c r="N354" s="2" t="s">
        <v>192</v>
      </c>
      <c r="O354" s="2" t="s">
        <v>100</v>
      </c>
      <c r="P354" s="2">
        <v>220</v>
      </c>
      <c r="R354" s="43">
        <v>45635</v>
      </c>
      <c r="S354" s="2">
        <v>50</v>
      </c>
      <c r="T354" s="2" t="s">
        <v>519</v>
      </c>
      <c r="U354" s="2" t="s">
        <v>107</v>
      </c>
      <c r="V354" s="2" t="s">
        <v>108</v>
      </c>
      <c r="W354" s="2" t="s">
        <v>193</v>
      </c>
      <c r="X354" s="23">
        <v>127</v>
      </c>
      <c r="Y354" s="23">
        <v>3281</v>
      </c>
      <c r="Z354" s="23">
        <v>9605</v>
      </c>
      <c r="AA354" s="24">
        <v>0.34159292035398198</v>
      </c>
      <c r="AB354" s="14" t="str">
        <f>VLOOKUP(flu_aw24[[#This Row],[trust_code]],trust_lookup[],3,0)</f>
        <v>King's</v>
      </c>
      <c r="AD354" s="43">
        <v>46048</v>
      </c>
      <c r="AE354" s="2">
        <v>5</v>
      </c>
      <c r="AF354" s="2" t="s">
        <v>518</v>
      </c>
      <c r="AG354" s="2" t="s">
        <v>167</v>
      </c>
      <c r="AH354" s="2" t="s">
        <v>168</v>
      </c>
      <c r="AI354" s="2" t="s">
        <v>194</v>
      </c>
      <c r="AJ354" s="23">
        <v>3</v>
      </c>
      <c r="AK354" s="23">
        <v>864</v>
      </c>
      <c r="AL354" s="23">
        <v>2475</v>
      </c>
      <c r="AM354" s="24">
        <v>0.34909090909090901</v>
      </c>
      <c r="AN354" s="44" t="str">
        <f>VLOOKUP(flu_aw25[[#This Row],[trust_code]],trust_lookup[],3,0)</f>
        <v>SWL&amp;StG</v>
      </c>
    </row>
    <row r="355" spans="1:40" x14ac:dyDescent="0.35">
      <c r="A355" s="2" t="s">
        <v>519</v>
      </c>
      <c r="B355" s="2" t="s">
        <v>69</v>
      </c>
      <c r="C355" s="2" t="s">
        <v>70</v>
      </c>
      <c r="D355" s="2" t="s">
        <v>190</v>
      </c>
      <c r="E355" s="2" t="s">
        <v>46</v>
      </c>
      <c r="F355" s="2">
        <v>24</v>
      </c>
      <c r="G355" s="2">
        <v>8</v>
      </c>
      <c r="H355" s="14" t="str">
        <f>VLOOKUP(flu_group[[#This Row],[trust_code]],trust_lookup[],3,0)</f>
        <v>ELFT</v>
      </c>
      <c r="I355" s="14" t="str">
        <f>VLOOKUP(flu_group[[#This Row],[trust_code]],trust_lookup[],4,0)</f>
        <v>Mental Health &amp; Community</v>
      </c>
      <c r="K355" s="2" t="s">
        <v>518</v>
      </c>
      <c r="L355" s="2" t="s">
        <v>187</v>
      </c>
      <c r="M355" s="2" t="s">
        <v>188</v>
      </c>
      <c r="N355" s="2" t="s">
        <v>192</v>
      </c>
      <c r="O355" s="2" t="s">
        <v>75</v>
      </c>
      <c r="P355" s="2">
        <v>42</v>
      </c>
      <c r="R355" s="43">
        <v>45642</v>
      </c>
      <c r="S355" s="2">
        <v>51</v>
      </c>
      <c r="T355" s="2" t="s">
        <v>519</v>
      </c>
      <c r="U355" s="2" t="s">
        <v>107</v>
      </c>
      <c r="V355" s="2" t="s">
        <v>108</v>
      </c>
      <c r="W355" s="2" t="s">
        <v>193</v>
      </c>
      <c r="X355" s="23">
        <v>77</v>
      </c>
      <c r="Y355" s="23">
        <v>3358</v>
      </c>
      <c r="Z355" s="23">
        <v>9605</v>
      </c>
      <c r="AA355" s="24">
        <v>0.34960957834461198</v>
      </c>
      <c r="AB355" s="14" t="str">
        <f>VLOOKUP(flu_aw24[[#This Row],[trust_code]],trust_lookup[],3,0)</f>
        <v>King's</v>
      </c>
      <c r="AD355" s="43">
        <v>46069</v>
      </c>
      <c r="AE355" s="2">
        <v>8</v>
      </c>
      <c r="AF355" s="2" t="s">
        <v>518</v>
      </c>
      <c r="AG355" s="2" t="s">
        <v>167</v>
      </c>
      <c r="AH355" s="2" t="s">
        <v>168</v>
      </c>
      <c r="AI355" s="2" t="s">
        <v>194</v>
      </c>
      <c r="AJ355" s="23">
        <v>2</v>
      </c>
      <c r="AK355" s="23">
        <v>866</v>
      </c>
      <c r="AL355" s="23">
        <v>2475</v>
      </c>
      <c r="AM355" s="24">
        <v>0.34989898989898899</v>
      </c>
      <c r="AN355" s="44" t="str">
        <f>VLOOKUP(flu_aw25[[#This Row],[trust_code]],trust_lookup[],3,0)</f>
        <v>SWL&amp;StG</v>
      </c>
    </row>
    <row r="356" spans="1:40" x14ac:dyDescent="0.35">
      <c r="A356" s="2" t="s">
        <v>519</v>
      </c>
      <c r="B356" s="2" t="s">
        <v>69</v>
      </c>
      <c r="C356" s="2" t="s">
        <v>70</v>
      </c>
      <c r="D356" s="2" t="s">
        <v>190</v>
      </c>
      <c r="E356" s="2" t="s">
        <v>60</v>
      </c>
      <c r="F356" s="2">
        <v>562</v>
      </c>
      <c r="G356" s="2">
        <v>172</v>
      </c>
      <c r="H356" s="14" t="str">
        <f>VLOOKUP(flu_group[[#This Row],[trust_code]],trust_lookup[],3,0)</f>
        <v>ELFT</v>
      </c>
      <c r="I356" s="14" t="str">
        <f>VLOOKUP(flu_group[[#This Row],[trust_code]],trust_lookup[],4,0)</f>
        <v>Mental Health &amp; Community</v>
      </c>
      <c r="K356" s="2" t="s">
        <v>518</v>
      </c>
      <c r="L356" s="2" t="s">
        <v>187</v>
      </c>
      <c r="M356" s="2" t="s">
        <v>188</v>
      </c>
      <c r="N356" s="2" t="s">
        <v>192</v>
      </c>
      <c r="O356" s="2" t="s">
        <v>106</v>
      </c>
      <c r="P356" s="2">
        <v>15</v>
      </c>
      <c r="R356" s="43">
        <v>45649</v>
      </c>
      <c r="S356" s="2">
        <v>52</v>
      </c>
      <c r="T356" s="2" t="s">
        <v>519</v>
      </c>
      <c r="U356" s="2" t="s">
        <v>107</v>
      </c>
      <c r="V356" s="2" t="s">
        <v>108</v>
      </c>
      <c r="W356" s="2" t="s">
        <v>193</v>
      </c>
      <c r="X356" s="23">
        <v>20</v>
      </c>
      <c r="Y356" s="23">
        <v>3378</v>
      </c>
      <c r="Z356" s="23">
        <v>9605</v>
      </c>
      <c r="AA356" s="24">
        <v>0.35169182717334702</v>
      </c>
      <c r="AB356" s="14" t="str">
        <f>VLOOKUP(flu_aw24[[#This Row],[trust_code]],trust_lookup[],3,0)</f>
        <v>King's</v>
      </c>
      <c r="AD356" s="43">
        <v>45908</v>
      </c>
      <c r="AE356" s="2">
        <v>37</v>
      </c>
      <c r="AF356" s="2" t="s">
        <v>518</v>
      </c>
      <c r="AG356" s="2" t="s">
        <v>69</v>
      </c>
      <c r="AH356" s="2" t="s">
        <v>70</v>
      </c>
      <c r="AI356" s="2" t="s">
        <v>190</v>
      </c>
      <c r="AJ356" s="23">
        <v>3</v>
      </c>
      <c r="AK356" s="23">
        <v>3</v>
      </c>
      <c r="AL356" s="23">
        <v>7143</v>
      </c>
      <c r="AM356" s="24">
        <v>4.1999160016799601E-4</v>
      </c>
      <c r="AN356" s="44" t="str">
        <f>VLOOKUP(flu_aw25[[#This Row],[trust_code]],trust_lookup[],3,0)</f>
        <v>ELFT</v>
      </c>
    </row>
    <row r="357" spans="1:40" x14ac:dyDescent="0.35">
      <c r="A357" s="2" t="s">
        <v>519</v>
      </c>
      <c r="B357" s="2" t="s">
        <v>69</v>
      </c>
      <c r="C357" s="2" t="s">
        <v>70</v>
      </c>
      <c r="D357" s="2" t="s">
        <v>190</v>
      </c>
      <c r="E357" s="2" t="s">
        <v>28</v>
      </c>
      <c r="F357" s="2">
        <v>10</v>
      </c>
      <c r="G357" s="2">
        <v>2</v>
      </c>
      <c r="H357" s="14" t="str">
        <f>VLOOKUP(flu_group[[#This Row],[trust_code]],trust_lookup[],3,0)</f>
        <v>ELFT</v>
      </c>
      <c r="I357" s="14" t="str">
        <f>VLOOKUP(flu_group[[#This Row],[trust_code]],trust_lookup[],4,0)</f>
        <v>Mental Health &amp; Community</v>
      </c>
      <c r="K357" s="2" t="s">
        <v>518</v>
      </c>
      <c r="L357" s="2" t="s">
        <v>187</v>
      </c>
      <c r="M357" s="2" t="s">
        <v>188</v>
      </c>
      <c r="N357" s="2" t="s">
        <v>192</v>
      </c>
      <c r="O357" s="2" t="s">
        <v>112</v>
      </c>
      <c r="P357" s="2">
        <v>85</v>
      </c>
      <c r="R357" s="43">
        <v>45656</v>
      </c>
      <c r="S357" s="2">
        <v>1</v>
      </c>
      <c r="T357" s="2" t="s">
        <v>519</v>
      </c>
      <c r="U357" s="2" t="s">
        <v>107</v>
      </c>
      <c r="V357" s="2" t="s">
        <v>108</v>
      </c>
      <c r="W357" s="2" t="s">
        <v>193</v>
      </c>
      <c r="X357" s="23">
        <v>18</v>
      </c>
      <c r="Y357" s="23">
        <v>3396</v>
      </c>
      <c r="Z357" s="23">
        <v>9605</v>
      </c>
      <c r="AA357" s="24">
        <v>0.35356585111920802</v>
      </c>
      <c r="AB357" s="14" t="str">
        <f>VLOOKUP(flu_aw24[[#This Row],[trust_code]],trust_lookup[],3,0)</f>
        <v>King's</v>
      </c>
      <c r="AD357" s="43">
        <v>45915</v>
      </c>
      <c r="AE357" s="2">
        <v>38</v>
      </c>
      <c r="AF357" s="2" t="s">
        <v>518</v>
      </c>
      <c r="AG357" s="2" t="s">
        <v>69</v>
      </c>
      <c r="AH357" s="2" t="s">
        <v>70</v>
      </c>
      <c r="AI357" s="2" t="s">
        <v>190</v>
      </c>
      <c r="AJ357" s="23">
        <v>2</v>
      </c>
      <c r="AK357" s="23">
        <v>5</v>
      </c>
      <c r="AL357" s="23">
        <v>7143</v>
      </c>
      <c r="AM357" s="24">
        <v>6.9998600027999401E-4</v>
      </c>
      <c r="AN357" s="44" t="str">
        <f>VLOOKUP(flu_aw25[[#This Row],[trust_code]],trust_lookup[],3,0)</f>
        <v>ELFT</v>
      </c>
    </row>
    <row r="358" spans="1:40" x14ac:dyDescent="0.35">
      <c r="A358" s="2" t="s">
        <v>519</v>
      </c>
      <c r="B358" s="2" t="s">
        <v>69</v>
      </c>
      <c r="C358" s="2" t="s">
        <v>70</v>
      </c>
      <c r="D358" s="2" t="s">
        <v>190</v>
      </c>
      <c r="E358" s="2" t="s">
        <v>42</v>
      </c>
      <c r="F358" s="2">
        <v>706</v>
      </c>
      <c r="G358" s="2">
        <v>279</v>
      </c>
      <c r="H358" s="14" t="str">
        <f>VLOOKUP(flu_group[[#This Row],[trust_code]],trust_lookup[],3,0)</f>
        <v>ELFT</v>
      </c>
      <c r="I358" s="14" t="str">
        <f>VLOOKUP(flu_group[[#This Row],[trust_code]],trust_lookup[],4,0)</f>
        <v>Mental Health &amp; Community</v>
      </c>
      <c r="K358" s="2" t="s">
        <v>518</v>
      </c>
      <c r="L358" s="2" t="s">
        <v>187</v>
      </c>
      <c r="M358" s="2" t="s">
        <v>188</v>
      </c>
      <c r="N358" s="2" t="s">
        <v>192</v>
      </c>
      <c r="O358" s="2" t="s">
        <v>36</v>
      </c>
      <c r="P358" s="2">
        <v>76</v>
      </c>
      <c r="R358" s="43">
        <v>45663</v>
      </c>
      <c r="S358" s="2">
        <v>2</v>
      </c>
      <c r="T358" s="2" t="s">
        <v>519</v>
      </c>
      <c r="U358" s="2" t="s">
        <v>107</v>
      </c>
      <c r="V358" s="2" t="s">
        <v>108</v>
      </c>
      <c r="W358" s="2" t="s">
        <v>193</v>
      </c>
      <c r="X358" s="23">
        <v>77</v>
      </c>
      <c r="Y358" s="23">
        <v>3473</v>
      </c>
      <c r="Z358" s="23">
        <v>9605</v>
      </c>
      <c r="AA358" s="24">
        <v>0.36158250910983802</v>
      </c>
      <c r="AB358" s="14" t="str">
        <f>VLOOKUP(flu_aw24[[#This Row],[trust_code]],trust_lookup[],3,0)</f>
        <v>King's</v>
      </c>
      <c r="AD358" s="43">
        <v>45922</v>
      </c>
      <c r="AE358" s="2">
        <v>39</v>
      </c>
      <c r="AF358" s="2" t="s">
        <v>518</v>
      </c>
      <c r="AG358" s="2" t="s">
        <v>69</v>
      </c>
      <c r="AH358" s="2" t="s">
        <v>70</v>
      </c>
      <c r="AI358" s="2" t="s">
        <v>190</v>
      </c>
      <c r="AJ358" s="23">
        <v>9</v>
      </c>
      <c r="AK358" s="23">
        <v>14</v>
      </c>
      <c r="AL358" s="23">
        <v>7143</v>
      </c>
      <c r="AM358" s="24">
        <v>1.9599608007839801E-3</v>
      </c>
      <c r="AN358" s="44" t="str">
        <f>VLOOKUP(flu_aw25[[#This Row],[trust_code]],trust_lookup[],3,0)</f>
        <v>ELFT</v>
      </c>
    </row>
    <row r="359" spans="1:40" x14ac:dyDescent="0.35">
      <c r="A359" s="2" t="s">
        <v>519</v>
      </c>
      <c r="B359" s="2" t="s">
        <v>69</v>
      </c>
      <c r="C359" s="2" t="s">
        <v>70</v>
      </c>
      <c r="D359" s="2" t="s">
        <v>190</v>
      </c>
      <c r="E359" s="2" t="s">
        <v>53</v>
      </c>
      <c r="F359" s="2">
        <v>1997</v>
      </c>
      <c r="G359" s="2">
        <v>541</v>
      </c>
      <c r="H359" s="14" t="str">
        <f>VLOOKUP(flu_group[[#This Row],[trust_code]],trust_lookup[],3,0)</f>
        <v>ELFT</v>
      </c>
      <c r="I359" s="14" t="str">
        <f>VLOOKUP(flu_group[[#This Row],[trust_code]],trust_lookup[],4,0)</f>
        <v>Mental Health &amp; Community</v>
      </c>
      <c r="K359" s="2" t="s">
        <v>518</v>
      </c>
      <c r="L359" s="2" t="s">
        <v>89</v>
      </c>
      <c r="M359" s="2" t="s">
        <v>90</v>
      </c>
      <c r="N359" s="2" t="s">
        <v>193</v>
      </c>
      <c r="O359" s="2" t="s">
        <v>68</v>
      </c>
      <c r="P359" s="2">
        <v>2999</v>
      </c>
      <c r="R359" s="43">
        <v>45670</v>
      </c>
      <c r="S359" s="2">
        <v>3</v>
      </c>
      <c r="T359" s="2" t="s">
        <v>519</v>
      </c>
      <c r="U359" s="2" t="s">
        <v>107</v>
      </c>
      <c r="V359" s="2" t="s">
        <v>108</v>
      </c>
      <c r="W359" s="2" t="s">
        <v>193</v>
      </c>
      <c r="X359" s="23">
        <v>76</v>
      </c>
      <c r="Y359" s="23">
        <v>3549</v>
      </c>
      <c r="Z359" s="23">
        <v>9605</v>
      </c>
      <c r="AA359" s="24">
        <v>0.36949505465903099</v>
      </c>
      <c r="AB359" s="14" t="str">
        <f>VLOOKUP(flu_aw24[[#This Row],[trust_code]],trust_lookup[],3,0)</f>
        <v>King's</v>
      </c>
      <c r="AD359" s="43">
        <v>45929</v>
      </c>
      <c r="AE359" s="2">
        <v>40</v>
      </c>
      <c r="AF359" s="2" t="s">
        <v>518</v>
      </c>
      <c r="AG359" s="2" t="s">
        <v>69</v>
      </c>
      <c r="AH359" s="2" t="s">
        <v>70</v>
      </c>
      <c r="AI359" s="2" t="s">
        <v>190</v>
      </c>
      <c r="AJ359" s="23">
        <v>284</v>
      </c>
      <c r="AK359" s="23">
        <v>298</v>
      </c>
      <c r="AL359" s="23">
        <v>7143</v>
      </c>
      <c r="AM359" s="24">
        <v>4.1719165616687599E-2</v>
      </c>
      <c r="AN359" s="44" t="str">
        <f>VLOOKUP(flu_aw25[[#This Row],[trust_code]],trust_lookup[],3,0)</f>
        <v>ELFT</v>
      </c>
    </row>
    <row r="360" spans="1:40" x14ac:dyDescent="0.35">
      <c r="A360" s="2" t="s">
        <v>519</v>
      </c>
      <c r="B360" s="2" t="s">
        <v>69</v>
      </c>
      <c r="C360" s="2" t="s">
        <v>70</v>
      </c>
      <c r="D360" s="2" t="s">
        <v>190</v>
      </c>
      <c r="E360" s="2" t="s">
        <v>35</v>
      </c>
      <c r="F360" s="2">
        <v>74</v>
      </c>
      <c r="G360" s="2">
        <v>11</v>
      </c>
      <c r="H360" s="14" t="str">
        <f>VLOOKUP(flu_group[[#This Row],[trust_code]],trust_lookup[],3,0)</f>
        <v>ELFT</v>
      </c>
      <c r="I360" s="14" t="str">
        <f>VLOOKUP(flu_group[[#This Row],[trust_code]],trust_lookup[],4,0)</f>
        <v>Mental Health &amp; Community</v>
      </c>
      <c r="K360" s="2" t="s">
        <v>518</v>
      </c>
      <c r="L360" s="2" t="s">
        <v>89</v>
      </c>
      <c r="M360" s="2" t="s">
        <v>90</v>
      </c>
      <c r="N360" s="2" t="s">
        <v>193</v>
      </c>
      <c r="O360" s="2" t="s">
        <v>135</v>
      </c>
      <c r="P360" s="2">
        <v>174</v>
      </c>
      <c r="R360" s="43">
        <v>45677</v>
      </c>
      <c r="S360" s="2">
        <v>4</v>
      </c>
      <c r="T360" s="2" t="s">
        <v>519</v>
      </c>
      <c r="U360" s="2" t="s">
        <v>107</v>
      </c>
      <c r="V360" s="2" t="s">
        <v>108</v>
      </c>
      <c r="W360" s="2" t="s">
        <v>193</v>
      </c>
      <c r="X360" s="23">
        <v>58</v>
      </c>
      <c r="Y360" s="23">
        <v>3607</v>
      </c>
      <c r="Z360" s="23">
        <v>9605</v>
      </c>
      <c r="AA360" s="24">
        <v>0.375533576262363</v>
      </c>
      <c r="AB360" s="14" t="str">
        <f>VLOOKUP(flu_aw24[[#This Row],[trust_code]],trust_lookup[],3,0)</f>
        <v>King's</v>
      </c>
      <c r="AD360" s="43">
        <v>45936</v>
      </c>
      <c r="AE360" s="2">
        <v>41</v>
      </c>
      <c r="AF360" s="2" t="s">
        <v>518</v>
      </c>
      <c r="AG360" s="2" t="s">
        <v>69</v>
      </c>
      <c r="AH360" s="2" t="s">
        <v>70</v>
      </c>
      <c r="AI360" s="2" t="s">
        <v>190</v>
      </c>
      <c r="AJ360" s="23">
        <v>392</v>
      </c>
      <c r="AK360" s="23">
        <v>690</v>
      </c>
      <c r="AL360" s="23">
        <v>7143</v>
      </c>
      <c r="AM360" s="24">
        <v>9.6598068038639198E-2</v>
      </c>
      <c r="AN360" s="44" t="str">
        <f>VLOOKUP(flu_aw25[[#This Row],[trust_code]],trust_lookup[],3,0)</f>
        <v>ELFT</v>
      </c>
    </row>
    <row r="361" spans="1:40" x14ac:dyDescent="0.35">
      <c r="A361" s="2" t="s">
        <v>519</v>
      </c>
      <c r="B361" s="2" t="s">
        <v>95</v>
      </c>
      <c r="C361" s="2" t="s">
        <v>96</v>
      </c>
      <c r="D361" s="2" t="s">
        <v>190</v>
      </c>
      <c r="E361" s="2" t="s">
        <v>67</v>
      </c>
      <c r="F361" s="2">
        <v>206</v>
      </c>
      <c r="G361" s="2">
        <v>62</v>
      </c>
      <c r="H361" s="14" t="str">
        <f>VLOOKUP(flu_group[[#This Row],[trust_code]],trust_lookup[],3,0)</f>
        <v>Homerton</v>
      </c>
      <c r="I361" s="14" t="str">
        <f>VLOOKUP(flu_group[[#This Row],[trust_code]],trust_lookup[],4,0)</f>
        <v>Acute</v>
      </c>
      <c r="K361" s="2" t="s">
        <v>518</v>
      </c>
      <c r="L361" s="2" t="s">
        <v>89</v>
      </c>
      <c r="M361" s="2" t="s">
        <v>90</v>
      </c>
      <c r="N361" s="2" t="s">
        <v>193</v>
      </c>
      <c r="O361" s="2" t="s">
        <v>54</v>
      </c>
      <c r="P361" s="2">
        <v>908</v>
      </c>
      <c r="R361" s="43">
        <v>45684</v>
      </c>
      <c r="S361" s="2">
        <v>5</v>
      </c>
      <c r="T361" s="2" t="s">
        <v>519</v>
      </c>
      <c r="U361" s="2" t="s">
        <v>107</v>
      </c>
      <c r="V361" s="2" t="s">
        <v>108</v>
      </c>
      <c r="W361" s="2" t="s">
        <v>193</v>
      </c>
      <c r="X361" s="23">
        <v>39</v>
      </c>
      <c r="Y361" s="23">
        <v>3646</v>
      </c>
      <c r="Z361" s="23">
        <v>9605</v>
      </c>
      <c r="AA361" s="24">
        <v>0.37959396147839602</v>
      </c>
      <c r="AB361" s="14" t="str">
        <f>VLOOKUP(flu_aw24[[#This Row],[trust_code]],trust_lookup[],3,0)</f>
        <v>King's</v>
      </c>
      <c r="AD361" s="43">
        <v>45943</v>
      </c>
      <c r="AE361" s="2">
        <v>42</v>
      </c>
      <c r="AF361" s="2" t="s">
        <v>518</v>
      </c>
      <c r="AG361" s="2" t="s">
        <v>69</v>
      </c>
      <c r="AH361" s="2" t="s">
        <v>70</v>
      </c>
      <c r="AI361" s="2" t="s">
        <v>190</v>
      </c>
      <c r="AJ361" s="23">
        <v>355</v>
      </c>
      <c r="AK361" s="23">
        <v>1045</v>
      </c>
      <c r="AL361" s="23">
        <v>7143</v>
      </c>
      <c r="AM361" s="24">
        <v>0.146297074058518</v>
      </c>
      <c r="AN361" s="44" t="str">
        <f>VLOOKUP(flu_aw25[[#This Row],[trust_code]],trust_lookup[],3,0)</f>
        <v>ELFT</v>
      </c>
    </row>
    <row r="362" spans="1:40" x14ac:dyDescent="0.35">
      <c r="A362" s="2" t="s">
        <v>519</v>
      </c>
      <c r="B362" s="2" t="s">
        <v>95</v>
      </c>
      <c r="C362" s="2" t="s">
        <v>96</v>
      </c>
      <c r="D362" s="2" t="s">
        <v>190</v>
      </c>
      <c r="E362" s="2" t="s">
        <v>81</v>
      </c>
      <c r="F362" s="2">
        <v>614</v>
      </c>
      <c r="G362" s="2">
        <v>130</v>
      </c>
      <c r="H362" s="14" t="str">
        <f>VLOOKUP(flu_group[[#This Row],[trust_code]],trust_lookup[],3,0)</f>
        <v>Homerton</v>
      </c>
      <c r="I362" s="14" t="str">
        <f>VLOOKUP(flu_group[[#This Row],[trust_code]],trust_lookup[],4,0)</f>
        <v>Acute</v>
      </c>
      <c r="K362" s="2" t="s">
        <v>518</v>
      </c>
      <c r="L362" s="2" t="s">
        <v>89</v>
      </c>
      <c r="M362" s="2" t="s">
        <v>90</v>
      </c>
      <c r="N362" s="2" t="s">
        <v>193</v>
      </c>
      <c r="O362" s="2" t="s">
        <v>129</v>
      </c>
      <c r="P362" s="2">
        <v>30</v>
      </c>
      <c r="R362" s="43">
        <v>45691</v>
      </c>
      <c r="S362" s="2">
        <v>6</v>
      </c>
      <c r="T362" s="2" t="s">
        <v>519</v>
      </c>
      <c r="U362" s="2" t="s">
        <v>107</v>
      </c>
      <c r="V362" s="2" t="s">
        <v>108</v>
      </c>
      <c r="W362" s="2" t="s">
        <v>193</v>
      </c>
      <c r="X362" s="23">
        <v>39</v>
      </c>
      <c r="Y362" s="23">
        <v>3685</v>
      </c>
      <c r="Z362" s="23">
        <v>9605</v>
      </c>
      <c r="AA362" s="24">
        <v>0.38365434669442999</v>
      </c>
      <c r="AB362" s="14" t="str">
        <f>VLOOKUP(flu_aw24[[#This Row],[trust_code]],trust_lookup[],3,0)</f>
        <v>King's</v>
      </c>
      <c r="AD362" s="43">
        <v>45950</v>
      </c>
      <c r="AE362" s="2">
        <v>43</v>
      </c>
      <c r="AF362" s="2" t="s">
        <v>518</v>
      </c>
      <c r="AG362" s="2" t="s">
        <v>69</v>
      </c>
      <c r="AH362" s="2" t="s">
        <v>70</v>
      </c>
      <c r="AI362" s="2" t="s">
        <v>190</v>
      </c>
      <c r="AJ362" s="23">
        <v>215</v>
      </c>
      <c r="AK362" s="23">
        <v>1260</v>
      </c>
      <c r="AL362" s="23">
        <v>7143</v>
      </c>
      <c r="AM362" s="24">
        <v>0.176396472070558</v>
      </c>
      <c r="AN362" s="44" t="str">
        <f>VLOOKUP(flu_aw25[[#This Row],[trust_code]],trust_lookup[],3,0)</f>
        <v>ELFT</v>
      </c>
    </row>
    <row r="363" spans="1:40" x14ac:dyDescent="0.35">
      <c r="A363" s="2" t="s">
        <v>519</v>
      </c>
      <c r="B363" s="2" t="s">
        <v>95</v>
      </c>
      <c r="C363" s="2" t="s">
        <v>96</v>
      </c>
      <c r="D363" s="2" t="s">
        <v>190</v>
      </c>
      <c r="E363" s="2" t="s">
        <v>46</v>
      </c>
      <c r="F363" s="2">
        <v>66</v>
      </c>
      <c r="G363" s="2">
        <v>10</v>
      </c>
      <c r="H363" s="14" t="str">
        <f>VLOOKUP(flu_group[[#This Row],[trust_code]],trust_lookup[],3,0)</f>
        <v>Homerton</v>
      </c>
      <c r="I363" s="14" t="str">
        <f>VLOOKUP(flu_group[[#This Row],[trust_code]],trust_lookup[],4,0)</f>
        <v>Acute</v>
      </c>
      <c r="K363" s="2" t="s">
        <v>518</v>
      </c>
      <c r="L363" s="2" t="s">
        <v>89</v>
      </c>
      <c r="M363" s="2" t="s">
        <v>90</v>
      </c>
      <c r="N363" s="2" t="s">
        <v>193</v>
      </c>
      <c r="O363" s="2" t="s">
        <v>47</v>
      </c>
      <c r="P363" s="2">
        <v>49</v>
      </c>
      <c r="R363" s="43">
        <v>45698</v>
      </c>
      <c r="S363" s="2">
        <v>7</v>
      </c>
      <c r="T363" s="2" t="s">
        <v>519</v>
      </c>
      <c r="U363" s="2" t="s">
        <v>107</v>
      </c>
      <c r="V363" s="2" t="s">
        <v>108</v>
      </c>
      <c r="W363" s="2" t="s">
        <v>193</v>
      </c>
      <c r="X363" s="23">
        <v>19</v>
      </c>
      <c r="Y363" s="23">
        <v>3704</v>
      </c>
      <c r="Z363" s="23">
        <v>9605</v>
      </c>
      <c r="AA363" s="24">
        <v>0.38563248308172798</v>
      </c>
      <c r="AB363" s="14" t="str">
        <f>VLOOKUP(flu_aw24[[#This Row],[trust_code]],trust_lookup[],3,0)</f>
        <v>King's</v>
      </c>
      <c r="AD363" s="43">
        <v>45957</v>
      </c>
      <c r="AE363" s="2">
        <v>44</v>
      </c>
      <c r="AF363" s="2" t="s">
        <v>518</v>
      </c>
      <c r="AG363" s="2" t="s">
        <v>69</v>
      </c>
      <c r="AH363" s="2" t="s">
        <v>70</v>
      </c>
      <c r="AI363" s="2" t="s">
        <v>190</v>
      </c>
      <c r="AJ363" s="23">
        <v>168</v>
      </c>
      <c r="AK363" s="23">
        <v>1428</v>
      </c>
      <c r="AL363" s="23">
        <v>7143</v>
      </c>
      <c r="AM363" s="24">
        <v>0.19991600167996601</v>
      </c>
      <c r="AN363" s="44" t="str">
        <f>VLOOKUP(flu_aw25[[#This Row],[trust_code]],trust_lookup[],3,0)</f>
        <v>ELFT</v>
      </c>
    </row>
    <row r="364" spans="1:40" x14ac:dyDescent="0.35">
      <c r="A364" s="2" t="s">
        <v>519</v>
      </c>
      <c r="B364" s="2" t="s">
        <v>95</v>
      </c>
      <c r="C364" s="2" t="s">
        <v>96</v>
      </c>
      <c r="D364" s="2" t="s">
        <v>190</v>
      </c>
      <c r="E364" s="2" t="s">
        <v>60</v>
      </c>
      <c r="F364" s="2">
        <v>443</v>
      </c>
      <c r="G364" s="2">
        <v>160</v>
      </c>
      <c r="H364" s="14" t="str">
        <f>VLOOKUP(flu_group[[#This Row],[trust_code]],trust_lookup[],3,0)</f>
        <v>Homerton</v>
      </c>
      <c r="I364" s="14" t="str">
        <f>VLOOKUP(flu_group[[#This Row],[trust_code]],trust_lookup[],4,0)</f>
        <v>Acute</v>
      </c>
      <c r="K364" s="2" t="s">
        <v>518</v>
      </c>
      <c r="L364" s="2" t="s">
        <v>89</v>
      </c>
      <c r="M364" s="2" t="s">
        <v>90</v>
      </c>
      <c r="N364" s="2" t="s">
        <v>193</v>
      </c>
      <c r="O364" s="2" t="s">
        <v>94</v>
      </c>
      <c r="P364" s="2">
        <v>66</v>
      </c>
      <c r="R364" s="43">
        <v>45705</v>
      </c>
      <c r="S364" s="2">
        <v>8</v>
      </c>
      <c r="T364" s="2" t="s">
        <v>519</v>
      </c>
      <c r="U364" s="2" t="s">
        <v>107</v>
      </c>
      <c r="V364" s="2" t="s">
        <v>108</v>
      </c>
      <c r="W364" s="2" t="s">
        <v>193</v>
      </c>
      <c r="X364" s="23">
        <v>16</v>
      </c>
      <c r="Y364" s="23">
        <v>3720</v>
      </c>
      <c r="Z364" s="23">
        <v>9605</v>
      </c>
      <c r="AA364" s="24">
        <v>0.38729828214471601</v>
      </c>
      <c r="AB364" s="14" t="str">
        <f>VLOOKUP(flu_aw24[[#This Row],[trust_code]],trust_lookup[],3,0)</f>
        <v>King's</v>
      </c>
      <c r="AD364" s="43">
        <v>45964</v>
      </c>
      <c r="AE364" s="2">
        <v>45</v>
      </c>
      <c r="AF364" s="2" t="s">
        <v>518</v>
      </c>
      <c r="AG364" s="2" t="s">
        <v>69</v>
      </c>
      <c r="AH364" s="2" t="s">
        <v>70</v>
      </c>
      <c r="AI364" s="2" t="s">
        <v>190</v>
      </c>
      <c r="AJ364" s="23">
        <v>146</v>
      </c>
      <c r="AK364" s="23">
        <v>1574</v>
      </c>
      <c r="AL364" s="23">
        <v>7143</v>
      </c>
      <c r="AM364" s="24">
        <v>0.22035559288814199</v>
      </c>
      <c r="AN364" s="44" t="str">
        <f>VLOOKUP(flu_aw25[[#This Row],[trust_code]],trust_lookup[],3,0)</f>
        <v>ELFT</v>
      </c>
    </row>
    <row r="365" spans="1:40" x14ac:dyDescent="0.35">
      <c r="A365" s="2" t="s">
        <v>519</v>
      </c>
      <c r="B365" s="2" t="s">
        <v>95</v>
      </c>
      <c r="C365" s="2" t="s">
        <v>96</v>
      </c>
      <c r="D365" s="2" t="s">
        <v>190</v>
      </c>
      <c r="E365" s="2" t="s">
        <v>28</v>
      </c>
      <c r="F365" s="2">
        <v>29</v>
      </c>
      <c r="G365" s="2">
        <v>10</v>
      </c>
      <c r="H365" s="14" t="str">
        <f>VLOOKUP(flu_group[[#This Row],[trust_code]],trust_lookup[],3,0)</f>
        <v>Homerton</v>
      </c>
      <c r="I365" s="14" t="str">
        <f>VLOOKUP(flu_group[[#This Row],[trust_code]],trust_lookup[],4,0)</f>
        <v>Acute</v>
      </c>
      <c r="K365" s="2" t="s">
        <v>518</v>
      </c>
      <c r="L365" s="2" t="s">
        <v>89</v>
      </c>
      <c r="M365" s="2" t="s">
        <v>90</v>
      </c>
      <c r="N365" s="2" t="s">
        <v>193</v>
      </c>
      <c r="O365" s="2" t="s">
        <v>29</v>
      </c>
      <c r="P365" s="2">
        <v>121</v>
      </c>
      <c r="R365" s="43">
        <v>45712</v>
      </c>
      <c r="S365" s="2">
        <v>9</v>
      </c>
      <c r="T365" s="2" t="s">
        <v>519</v>
      </c>
      <c r="U365" s="2" t="s">
        <v>107</v>
      </c>
      <c r="V365" s="2" t="s">
        <v>108</v>
      </c>
      <c r="W365" s="2" t="s">
        <v>193</v>
      </c>
      <c r="X365" s="23">
        <v>11</v>
      </c>
      <c r="Y365" s="23">
        <v>3731</v>
      </c>
      <c r="Z365" s="23">
        <v>9605</v>
      </c>
      <c r="AA365" s="24">
        <v>0.38844351900051999</v>
      </c>
      <c r="AB365" s="14" t="str">
        <f>VLOOKUP(flu_aw24[[#This Row],[trust_code]],trust_lookup[],3,0)</f>
        <v>King's</v>
      </c>
      <c r="AD365" s="43">
        <v>45971</v>
      </c>
      <c r="AE365" s="2">
        <v>46</v>
      </c>
      <c r="AF365" s="2" t="s">
        <v>518</v>
      </c>
      <c r="AG365" s="2" t="s">
        <v>69</v>
      </c>
      <c r="AH365" s="2" t="s">
        <v>70</v>
      </c>
      <c r="AI365" s="2" t="s">
        <v>190</v>
      </c>
      <c r="AJ365" s="23">
        <v>145</v>
      </c>
      <c r="AK365" s="23">
        <v>1719</v>
      </c>
      <c r="AL365" s="23">
        <v>7143</v>
      </c>
      <c r="AM365" s="24">
        <v>0.240655186896262</v>
      </c>
      <c r="AN365" s="44" t="str">
        <f>VLOOKUP(flu_aw25[[#This Row],[trust_code]],trust_lookup[],3,0)</f>
        <v>ELFT</v>
      </c>
    </row>
    <row r="366" spans="1:40" x14ac:dyDescent="0.35">
      <c r="A366" s="2" t="s">
        <v>519</v>
      </c>
      <c r="B366" s="2" t="s">
        <v>95</v>
      </c>
      <c r="C366" s="2" t="s">
        <v>96</v>
      </c>
      <c r="D366" s="2" t="s">
        <v>190</v>
      </c>
      <c r="E366" s="2" t="s">
        <v>74</v>
      </c>
      <c r="F366" s="2">
        <v>29</v>
      </c>
      <c r="G366" s="2">
        <v>4</v>
      </c>
      <c r="H366" s="14" t="str">
        <f>VLOOKUP(flu_group[[#This Row],[trust_code]],trust_lookup[],3,0)</f>
        <v>Homerton</v>
      </c>
      <c r="I366" s="14" t="str">
        <f>VLOOKUP(flu_group[[#This Row],[trust_code]],trust_lookup[],4,0)</f>
        <v>Acute</v>
      </c>
      <c r="K366" s="2" t="s">
        <v>518</v>
      </c>
      <c r="L366" s="2" t="s">
        <v>89</v>
      </c>
      <c r="M366" s="2" t="s">
        <v>90</v>
      </c>
      <c r="N366" s="2" t="s">
        <v>193</v>
      </c>
      <c r="O366" s="2" t="s">
        <v>123</v>
      </c>
      <c r="P366" s="2">
        <v>476</v>
      </c>
      <c r="R366" s="43">
        <v>45719</v>
      </c>
      <c r="S366" s="2">
        <v>10</v>
      </c>
      <c r="T366" s="2" t="s">
        <v>519</v>
      </c>
      <c r="U366" s="2" t="s">
        <v>107</v>
      </c>
      <c r="V366" s="2" t="s">
        <v>108</v>
      </c>
      <c r="W366" s="2" t="s">
        <v>193</v>
      </c>
      <c r="X366" s="23">
        <v>12</v>
      </c>
      <c r="Y366" s="23">
        <v>3743</v>
      </c>
      <c r="Z366" s="23">
        <v>9605</v>
      </c>
      <c r="AA366" s="24">
        <v>0.38969286829776101</v>
      </c>
      <c r="AB366" s="14" t="str">
        <f>VLOOKUP(flu_aw24[[#This Row],[trust_code]],trust_lookup[],3,0)</f>
        <v>King's</v>
      </c>
      <c r="AD366" s="43">
        <v>45978</v>
      </c>
      <c r="AE366" s="2">
        <v>47</v>
      </c>
      <c r="AF366" s="2" t="s">
        <v>518</v>
      </c>
      <c r="AG366" s="2" t="s">
        <v>69</v>
      </c>
      <c r="AH366" s="2" t="s">
        <v>70</v>
      </c>
      <c r="AI366" s="2" t="s">
        <v>190</v>
      </c>
      <c r="AJ366" s="23">
        <v>137</v>
      </c>
      <c r="AK366" s="23">
        <v>1856</v>
      </c>
      <c r="AL366" s="23">
        <v>7143</v>
      </c>
      <c r="AM366" s="24">
        <v>0.25983480330393299</v>
      </c>
      <c r="AN366" s="44" t="str">
        <f>VLOOKUP(flu_aw25[[#This Row],[trust_code]],trust_lookup[],3,0)</f>
        <v>ELFT</v>
      </c>
    </row>
    <row r="367" spans="1:40" x14ac:dyDescent="0.35">
      <c r="A367" s="2" t="s">
        <v>519</v>
      </c>
      <c r="B367" s="2" t="s">
        <v>95</v>
      </c>
      <c r="C367" s="2" t="s">
        <v>96</v>
      </c>
      <c r="D367" s="2" t="s">
        <v>190</v>
      </c>
      <c r="E367" s="2" t="s">
        <v>42</v>
      </c>
      <c r="F367" s="2">
        <v>907</v>
      </c>
      <c r="G367" s="2">
        <v>404</v>
      </c>
      <c r="H367" s="14" t="str">
        <f>VLOOKUP(flu_group[[#This Row],[trust_code]],trust_lookup[],3,0)</f>
        <v>Homerton</v>
      </c>
      <c r="I367" s="14" t="str">
        <f>VLOOKUP(flu_group[[#This Row],[trust_code]],trust_lookup[],4,0)</f>
        <v>Acute</v>
      </c>
      <c r="K367" s="2" t="s">
        <v>518</v>
      </c>
      <c r="L367" s="2" t="s">
        <v>89</v>
      </c>
      <c r="M367" s="2" t="s">
        <v>90</v>
      </c>
      <c r="N367" s="2" t="s">
        <v>193</v>
      </c>
      <c r="O367" s="2" t="s">
        <v>82</v>
      </c>
      <c r="P367" s="2">
        <v>88</v>
      </c>
      <c r="R367" s="43">
        <v>45726</v>
      </c>
      <c r="S367" s="2">
        <v>11</v>
      </c>
      <c r="T367" s="2" t="s">
        <v>519</v>
      </c>
      <c r="U367" s="2" t="s">
        <v>107</v>
      </c>
      <c r="V367" s="2" t="s">
        <v>108</v>
      </c>
      <c r="W367" s="2" t="s">
        <v>193</v>
      </c>
      <c r="X367" s="23">
        <v>8</v>
      </c>
      <c r="Y367" s="23">
        <v>3751</v>
      </c>
      <c r="Z367" s="23">
        <v>9605</v>
      </c>
      <c r="AA367" s="24">
        <v>0.39052576782925502</v>
      </c>
      <c r="AB367" s="14" t="str">
        <f>VLOOKUP(flu_aw24[[#This Row],[trust_code]],trust_lookup[],3,0)</f>
        <v>King's</v>
      </c>
      <c r="AD367" s="43">
        <v>45985</v>
      </c>
      <c r="AE367" s="2">
        <v>48</v>
      </c>
      <c r="AF367" s="2" t="s">
        <v>518</v>
      </c>
      <c r="AG367" s="2" t="s">
        <v>69</v>
      </c>
      <c r="AH367" s="2" t="s">
        <v>70</v>
      </c>
      <c r="AI367" s="2" t="s">
        <v>190</v>
      </c>
      <c r="AJ367" s="23">
        <v>105</v>
      </c>
      <c r="AK367" s="23">
        <v>1961</v>
      </c>
      <c r="AL367" s="23">
        <v>7143</v>
      </c>
      <c r="AM367" s="24">
        <v>0.27453450930981299</v>
      </c>
      <c r="AN367" s="44" t="str">
        <f>VLOOKUP(flu_aw25[[#This Row],[trust_code]],trust_lookup[],3,0)</f>
        <v>ELFT</v>
      </c>
    </row>
    <row r="368" spans="1:40" x14ac:dyDescent="0.35">
      <c r="A368" s="2" t="s">
        <v>519</v>
      </c>
      <c r="B368" s="2" t="s">
        <v>95</v>
      </c>
      <c r="C368" s="2" t="s">
        <v>96</v>
      </c>
      <c r="D368" s="2" t="s">
        <v>190</v>
      </c>
      <c r="E368" s="2" t="s">
        <v>53</v>
      </c>
      <c r="F368" s="2">
        <v>1348</v>
      </c>
      <c r="G368" s="2">
        <v>416</v>
      </c>
      <c r="H368" s="14" t="str">
        <f>VLOOKUP(flu_group[[#This Row],[trust_code]],trust_lookup[],3,0)</f>
        <v>Homerton</v>
      </c>
      <c r="I368" s="14" t="str">
        <f>VLOOKUP(flu_group[[#This Row],[trust_code]],trust_lookup[],4,0)</f>
        <v>Acute</v>
      </c>
      <c r="K368" s="2" t="s">
        <v>518</v>
      </c>
      <c r="L368" s="2" t="s">
        <v>89</v>
      </c>
      <c r="M368" s="2" t="s">
        <v>90</v>
      </c>
      <c r="N368" s="2" t="s">
        <v>193</v>
      </c>
      <c r="O368" s="2" t="s">
        <v>88</v>
      </c>
      <c r="P368" s="2">
        <v>65</v>
      </c>
      <c r="R368" s="43">
        <v>45733</v>
      </c>
      <c r="S368" s="2">
        <v>12</v>
      </c>
      <c r="T368" s="2" t="s">
        <v>519</v>
      </c>
      <c r="U368" s="2" t="s">
        <v>107</v>
      </c>
      <c r="V368" s="2" t="s">
        <v>108</v>
      </c>
      <c r="W368" s="2" t="s">
        <v>193</v>
      </c>
      <c r="X368" s="23">
        <v>9</v>
      </c>
      <c r="Y368" s="23">
        <v>3760</v>
      </c>
      <c r="Z368" s="23">
        <v>9605</v>
      </c>
      <c r="AA368" s="24">
        <v>0.39146277980218602</v>
      </c>
      <c r="AB368" s="14" t="str">
        <f>VLOOKUP(flu_aw24[[#This Row],[trust_code]],trust_lookup[],3,0)</f>
        <v>King's</v>
      </c>
      <c r="AD368" s="43">
        <v>45992</v>
      </c>
      <c r="AE368" s="2">
        <v>49</v>
      </c>
      <c r="AF368" s="2" t="s">
        <v>518</v>
      </c>
      <c r="AG368" s="2" t="s">
        <v>69</v>
      </c>
      <c r="AH368" s="2" t="s">
        <v>70</v>
      </c>
      <c r="AI368" s="2" t="s">
        <v>190</v>
      </c>
      <c r="AJ368" s="23">
        <v>64</v>
      </c>
      <c r="AK368" s="23">
        <v>2025</v>
      </c>
      <c r="AL368" s="23">
        <v>7143</v>
      </c>
      <c r="AM368" s="24">
        <v>0.28349433011339698</v>
      </c>
      <c r="AN368" s="44" t="str">
        <f>VLOOKUP(flu_aw25[[#This Row],[trust_code]],trust_lookup[],3,0)</f>
        <v>ELFT</v>
      </c>
    </row>
    <row r="369" spans="1:40" x14ac:dyDescent="0.35">
      <c r="A369" s="2" t="s">
        <v>519</v>
      </c>
      <c r="B369" s="2" t="s">
        <v>95</v>
      </c>
      <c r="C369" s="2" t="s">
        <v>96</v>
      </c>
      <c r="D369" s="2" t="s">
        <v>190</v>
      </c>
      <c r="E369" s="2" t="s">
        <v>35</v>
      </c>
      <c r="F369" s="2">
        <v>22</v>
      </c>
      <c r="G369" s="2">
        <v>4</v>
      </c>
      <c r="H369" s="14" t="str">
        <f>VLOOKUP(flu_group[[#This Row],[trust_code]],trust_lookup[],3,0)</f>
        <v>Homerton</v>
      </c>
      <c r="I369" s="14" t="str">
        <f>VLOOKUP(flu_group[[#This Row],[trust_code]],trust_lookup[],4,0)</f>
        <v>Acute</v>
      </c>
      <c r="K369" s="2" t="s">
        <v>518</v>
      </c>
      <c r="L369" s="2" t="s">
        <v>89</v>
      </c>
      <c r="M369" s="2" t="s">
        <v>90</v>
      </c>
      <c r="N369" s="2" t="s">
        <v>193</v>
      </c>
      <c r="O369" s="2" t="s">
        <v>141</v>
      </c>
      <c r="P369" s="2">
        <v>660</v>
      </c>
      <c r="R369" s="43">
        <v>45740</v>
      </c>
      <c r="S369" s="2">
        <v>13</v>
      </c>
      <c r="T369" s="2" t="s">
        <v>519</v>
      </c>
      <c r="U369" s="2" t="s">
        <v>107</v>
      </c>
      <c r="V369" s="2" t="s">
        <v>108</v>
      </c>
      <c r="W369" s="2" t="s">
        <v>193</v>
      </c>
      <c r="X369" s="23">
        <v>10</v>
      </c>
      <c r="Y369" s="23">
        <v>3770</v>
      </c>
      <c r="Z369" s="23">
        <v>9605</v>
      </c>
      <c r="AA369" s="24">
        <v>0.39250390421655301</v>
      </c>
      <c r="AB369" s="14" t="str">
        <f>VLOOKUP(flu_aw24[[#This Row],[trust_code]],trust_lookup[],3,0)</f>
        <v>King's</v>
      </c>
      <c r="AD369" s="43">
        <v>45999</v>
      </c>
      <c r="AE369" s="2">
        <v>50</v>
      </c>
      <c r="AF369" s="2" t="s">
        <v>518</v>
      </c>
      <c r="AG369" s="2" t="s">
        <v>69</v>
      </c>
      <c r="AH369" s="2" t="s">
        <v>70</v>
      </c>
      <c r="AI369" s="2" t="s">
        <v>190</v>
      </c>
      <c r="AJ369" s="23">
        <v>94</v>
      </c>
      <c r="AK369" s="23">
        <v>2119</v>
      </c>
      <c r="AL369" s="23">
        <v>7143</v>
      </c>
      <c r="AM369" s="24">
        <v>0.29665406691866097</v>
      </c>
      <c r="AN369" s="44" t="str">
        <f>VLOOKUP(flu_aw25[[#This Row],[trust_code]],trust_lookup[],3,0)</f>
        <v>ELFT</v>
      </c>
    </row>
    <row r="370" spans="1:40" x14ac:dyDescent="0.35">
      <c r="A370" s="2" t="s">
        <v>519</v>
      </c>
      <c r="B370" s="2" t="s">
        <v>142</v>
      </c>
      <c r="C370" s="2" t="s">
        <v>143</v>
      </c>
      <c r="D370" s="2" t="s">
        <v>190</v>
      </c>
      <c r="E370" s="2" t="s">
        <v>67</v>
      </c>
      <c r="F370" s="2">
        <v>923</v>
      </c>
      <c r="G370" s="2">
        <v>284</v>
      </c>
      <c r="H370" s="14" t="str">
        <f>VLOOKUP(flu_group[[#This Row],[trust_code]],trust_lookup[],3,0)</f>
        <v>NELFT</v>
      </c>
      <c r="I370" s="14" t="str">
        <f>VLOOKUP(flu_group[[#This Row],[trust_code]],trust_lookup[],4,0)</f>
        <v>Mental Health &amp; Community</v>
      </c>
      <c r="K370" s="2" t="s">
        <v>518</v>
      </c>
      <c r="L370" s="2" t="s">
        <v>89</v>
      </c>
      <c r="M370" s="2" t="s">
        <v>90</v>
      </c>
      <c r="N370" s="2" t="s">
        <v>193</v>
      </c>
      <c r="O370" s="2" t="s">
        <v>61</v>
      </c>
      <c r="P370" s="2">
        <v>117</v>
      </c>
      <c r="R370" s="43">
        <v>45544</v>
      </c>
      <c r="S370" s="2">
        <v>37</v>
      </c>
      <c r="T370" s="2" t="s">
        <v>519</v>
      </c>
      <c r="U370" s="2" t="s">
        <v>113</v>
      </c>
      <c r="V370" s="2" t="s">
        <v>114</v>
      </c>
      <c r="W370" s="2" t="s">
        <v>194</v>
      </c>
      <c r="X370" s="23">
        <v>1</v>
      </c>
      <c r="Y370" s="23">
        <v>1</v>
      </c>
      <c r="Z370" s="23">
        <v>3808</v>
      </c>
      <c r="AA370" s="24">
        <v>2.6260504201680601E-4</v>
      </c>
      <c r="AB370" s="14" t="str">
        <f>VLOOKUP(flu_aw24[[#This Row],[trust_code]],trust_lookup[],3,0)</f>
        <v>K&amp;R FT</v>
      </c>
      <c r="AD370" s="43">
        <v>46006</v>
      </c>
      <c r="AE370" s="2">
        <v>51</v>
      </c>
      <c r="AF370" s="2" t="s">
        <v>518</v>
      </c>
      <c r="AG370" s="2" t="s">
        <v>69</v>
      </c>
      <c r="AH370" s="2" t="s">
        <v>70</v>
      </c>
      <c r="AI370" s="2" t="s">
        <v>190</v>
      </c>
      <c r="AJ370" s="23">
        <v>81</v>
      </c>
      <c r="AK370" s="23">
        <v>2200</v>
      </c>
      <c r="AL370" s="23">
        <v>7143</v>
      </c>
      <c r="AM370" s="24">
        <v>0.30799384012319703</v>
      </c>
      <c r="AN370" s="44" t="str">
        <f>VLOOKUP(flu_aw25[[#This Row],[trust_code]],trust_lookup[],3,0)</f>
        <v>ELFT</v>
      </c>
    </row>
    <row r="371" spans="1:40" x14ac:dyDescent="0.35">
      <c r="A371" s="2" t="s">
        <v>519</v>
      </c>
      <c r="B371" s="2" t="s">
        <v>142</v>
      </c>
      <c r="C371" s="2" t="s">
        <v>143</v>
      </c>
      <c r="D371" s="2" t="s">
        <v>190</v>
      </c>
      <c r="E371" s="2" t="s">
        <v>81</v>
      </c>
      <c r="F371" s="2">
        <v>1534</v>
      </c>
      <c r="G371" s="2">
        <v>382</v>
      </c>
      <c r="H371" s="14" t="str">
        <f>VLOOKUP(flu_group[[#This Row],[trust_code]],trust_lookup[],3,0)</f>
        <v>NELFT</v>
      </c>
      <c r="I371" s="14" t="str">
        <f>VLOOKUP(flu_group[[#This Row],[trust_code]],trust_lookup[],4,0)</f>
        <v>Mental Health &amp; Community</v>
      </c>
      <c r="K371" s="2" t="s">
        <v>518</v>
      </c>
      <c r="L371" s="2" t="s">
        <v>89</v>
      </c>
      <c r="M371" s="2" t="s">
        <v>90</v>
      </c>
      <c r="N371" s="2" t="s">
        <v>193</v>
      </c>
      <c r="O371" s="2" t="s">
        <v>100</v>
      </c>
      <c r="P371" s="2">
        <v>629</v>
      </c>
      <c r="R371" s="43">
        <v>45551</v>
      </c>
      <c r="S371" s="2">
        <v>38</v>
      </c>
      <c r="T371" s="2" t="s">
        <v>519</v>
      </c>
      <c r="U371" s="2" t="s">
        <v>113</v>
      </c>
      <c r="V371" s="2" t="s">
        <v>114</v>
      </c>
      <c r="W371" s="2" t="s">
        <v>194</v>
      </c>
      <c r="X371" s="23">
        <v>5</v>
      </c>
      <c r="Y371" s="23">
        <v>6</v>
      </c>
      <c r="Z371" s="23">
        <v>3808</v>
      </c>
      <c r="AA371" s="24">
        <v>1.5756302521008399E-3</v>
      </c>
      <c r="AB371" s="14" t="str">
        <f>VLOOKUP(flu_aw24[[#This Row],[trust_code]],trust_lookup[],3,0)</f>
        <v>K&amp;R FT</v>
      </c>
      <c r="AD371" s="43">
        <v>46013</v>
      </c>
      <c r="AE371" s="2">
        <v>52</v>
      </c>
      <c r="AF371" s="2" t="s">
        <v>518</v>
      </c>
      <c r="AG371" s="2" t="s">
        <v>69</v>
      </c>
      <c r="AH371" s="2" t="s">
        <v>70</v>
      </c>
      <c r="AI371" s="2" t="s">
        <v>190</v>
      </c>
      <c r="AJ371" s="23">
        <v>13</v>
      </c>
      <c r="AK371" s="23">
        <v>2213</v>
      </c>
      <c r="AL371" s="23">
        <v>7143</v>
      </c>
      <c r="AM371" s="24">
        <v>0.30981380372392497</v>
      </c>
      <c r="AN371" s="44" t="str">
        <f>VLOOKUP(flu_aw25[[#This Row],[trust_code]],trust_lookup[],3,0)</f>
        <v>ELFT</v>
      </c>
    </row>
    <row r="372" spans="1:40" x14ac:dyDescent="0.35">
      <c r="A372" s="2" t="s">
        <v>519</v>
      </c>
      <c r="B372" s="2" t="s">
        <v>142</v>
      </c>
      <c r="C372" s="2" t="s">
        <v>143</v>
      </c>
      <c r="D372" s="2" t="s">
        <v>190</v>
      </c>
      <c r="E372" s="2" t="s">
        <v>46</v>
      </c>
      <c r="F372" s="2">
        <v>198</v>
      </c>
      <c r="G372" s="2">
        <v>61</v>
      </c>
      <c r="H372" s="14" t="str">
        <f>VLOOKUP(flu_group[[#This Row],[trust_code]],trust_lookup[],3,0)</f>
        <v>NELFT</v>
      </c>
      <c r="I372" s="14" t="str">
        <f>VLOOKUP(flu_group[[#This Row],[trust_code]],trust_lookup[],4,0)</f>
        <v>Mental Health &amp; Community</v>
      </c>
      <c r="K372" s="2" t="s">
        <v>518</v>
      </c>
      <c r="L372" s="2" t="s">
        <v>89</v>
      </c>
      <c r="M372" s="2" t="s">
        <v>90</v>
      </c>
      <c r="N372" s="2" t="s">
        <v>193</v>
      </c>
      <c r="O372" s="2" t="s">
        <v>75</v>
      </c>
      <c r="P372" s="2">
        <v>141</v>
      </c>
      <c r="R372" s="43">
        <v>45558</v>
      </c>
      <c r="S372" s="2">
        <v>39</v>
      </c>
      <c r="T372" s="2" t="s">
        <v>519</v>
      </c>
      <c r="U372" s="2" t="s">
        <v>113</v>
      </c>
      <c r="V372" s="2" t="s">
        <v>114</v>
      </c>
      <c r="W372" s="2" t="s">
        <v>194</v>
      </c>
      <c r="X372" s="23">
        <v>6</v>
      </c>
      <c r="Y372" s="23">
        <v>12</v>
      </c>
      <c r="Z372" s="23">
        <v>3808</v>
      </c>
      <c r="AA372" s="24">
        <v>3.1512605042016799E-3</v>
      </c>
      <c r="AB372" s="14" t="str">
        <f>VLOOKUP(flu_aw24[[#This Row],[trust_code]],trust_lookup[],3,0)</f>
        <v>K&amp;R FT</v>
      </c>
      <c r="AD372" s="43">
        <v>46020</v>
      </c>
      <c r="AE372" s="2">
        <v>1</v>
      </c>
      <c r="AF372" s="2" t="s">
        <v>518</v>
      </c>
      <c r="AG372" s="2" t="s">
        <v>69</v>
      </c>
      <c r="AH372" s="2" t="s">
        <v>70</v>
      </c>
      <c r="AI372" s="2" t="s">
        <v>190</v>
      </c>
      <c r="AJ372" s="23">
        <v>10</v>
      </c>
      <c r="AK372" s="23">
        <v>2223</v>
      </c>
      <c r="AL372" s="23">
        <v>7143</v>
      </c>
      <c r="AM372" s="24">
        <v>0.311213775724485</v>
      </c>
      <c r="AN372" s="44" t="str">
        <f>VLOOKUP(flu_aw25[[#This Row],[trust_code]],trust_lookup[],3,0)</f>
        <v>ELFT</v>
      </c>
    </row>
    <row r="373" spans="1:40" x14ac:dyDescent="0.35">
      <c r="A373" s="2" t="s">
        <v>519</v>
      </c>
      <c r="B373" s="2" t="s">
        <v>142</v>
      </c>
      <c r="C373" s="2" t="s">
        <v>143</v>
      </c>
      <c r="D373" s="2" t="s">
        <v>190</v>
      </c>
      <c r="E373" s="2" t="s">
        <v>60</v>
      </c>
      <c r="F373" s="2">
        <v>717</v>
      </c>
      <c r="G373" s="2">
        <v>228</v>
      </c>
      <c r="H373" s="14" t="str">
        <f>VLOOKUP(flu_group[[#This Row],[trust_code]],trust_lookup[],3,0)</f>
        <v>NELFT</v>
      </c>
      <c r="I373" s="14" t="str">
        <f>VLOOKUP(flu_group[[#This Row],[trust_code]],trust_lookup[],4,0)</f>
        <v>Mental Health &amp; Community</v>
      </c>
      <c r="K373" s="2" t="s">
        <v>518</v>
      </c>
      <c r="L373" s="2" t="s">
        <v>89</v>
      </c>
      <c r="M373" s="2" t="s">
        <v>90</v>
      </c>
      <c r="N373" s="2" t="s">
        <v>193</v>
      </c>
      <c r="O373" s="2" t="s">
        <v>106</v>
      </c>
      <c r="P373" s="2">
        <v>179</v>
      </c>
      <c r="R373" s="43">
        <v>45565</v>
      </c>
      <c r="S373" s="2">
        <v>40</v>
      </c>
      <c r="T373" s="2" t="s">
        <v>519</v>
      </c>
      <c r="U373" s="2" t="s">
        <v>113</v>
      </c>
      <c r="V373" s="2" t="s">
        <v>114</v>
      </c>
      <c r="W373" s="2" t="s">
        <v>194</v>
      </c>
      <c r="X373" s="23">
        <v>76</v>
      </c>
      <c r="Y373" s="23">
        <v>88</v>
      </c>
      <c r="Z373" s="23">
        <v>3808</v>
      </c>
      <c r="AA373" s="24">
        <v>2.3109243697478899E-2</v>
      </c>
      <c r="AB373" s="14" t="str">
        <f>VLOOKUP(flu_aw24[[#This Row],[trust_code]],trust_lookup[],3,0)</f>
        <v>K&amp;R FT</v>
      </c>
      <c r="AD373" s="43">
        <v>46027</v>
      </c>
      <c r="AE373" s="2">
        <v>2</v>
      </c>
      <c r="AF373" s="2" t="s">
        <v>518</v>
      </c>
      <c r="AG373" s="2" t="s">
        <v>69</v>
      </c>
      <c r="AH373" s="2" t="s">
        <v>70</v>
      </c>
      <c r="AI373" s="2" t="s">
        <v>190</v>
      </c>
      <c r="AJ373" s="23">
        <v>13</v>
      </c>
      <c r="AK373" s="23">
        <v>2236</v>
      </c>
      <c r="AL373" s="23">
        <v>7143</v>
      </c>
      <c r="AM373" s="24">
        <v>0.313033739325213</v>
      </c>
      <c r="AN373" s="44" t="str">
        <f>VLOOKUP(flu_aw25[[#This Row],[trust_code]],trust_lookup[],3,0)</f>
        <v>ELFT</v>
      </c>
    </row>
    <row r="374" spans="1:40" x14ac:dyDescent="0.35">
      <c r="A374" s="2" t="s">
        <v>519</v>
      </c>
      <c r="B374" s="2" t="s">
        <v>142</v>
      </c>
      <c r="C374" s="2" t="s">
        <v>143</v>
      </c>
      <c r="D374" s="2" t="s">
        <v>190</v>
      </c>
      <c r="E374" s="2" t="s">
        <v>28</v>
      </c>
      <c r="F374" s="2">
        <v>16</v>
      </c>
      <c r="G374" s="2">
        <v>3</v>
      </c>
      <c r="H374" s="14" t="str">
        <f>VLOOKUP(flu_group[[#This Row],[trust_code]],trust_lookup[],3,0)</f>
        <v>NELFT</v>
      </c>
      <c r="I374" s="14" t="str">
        <f>VLOOKUP(flu_group[[#This Row],[trust_code]],trust_lookup[],4,0)</f>
        <v>Mental Health &amp; Community</v>
      </c>
      <c r="K374" s="2" t="s">
        <v>518</v>
      </c>
      <c r="L374" s="2" t="s">
        <v>89</v>
      </c>
      <c r="M374" s="2" t="s">
        <v>90</v>
      </c>
      <c r="N374" s="2" t="s">
        <v>193</v>
      </c>
      <c r="O374" s="2" t="s">
        <v>112</v>
      </c>
      <c r="P374" s="2">
        <v>464</v>
      </c>
      <c r="R374" s="43">
        <v>45572</v>
      </c>
      <c r="S374" s="2">
        <v>41</v>
      </c>
      <c r="T374" s="2" t="s">
        <v>519</v>
      </c>
      <c r="U374" s="2" t="s">
        <v>113</v>
      </c>
      <c r="V374" s="2" t="s">
        <v>114</v>
      </c>
      <c r="W374" s="2" t="s">
        <v>194</v>
      </c>
      <c r="X374" s="23">
        <v>431</v>
      </c>
      <c r="Y374" s="23">
        <v>519</v>
      </c>
      <c r="Z374" s="23">
        <v>3808</v>
      </c>
      <c r="AA374" s="24">
        <v>0.13629201680672201</v>
      </c>
      <c r="AB374" s="14" t="str">
        <f>VLOOKUP(flu_aw24[[#This Row],[trust_code]],trust_lookup[],3,0)</f>
        <v>K&amp;R FT</v>
      </c>
      <c r="AD374" s="43">
        <v>46034</v>
      </c>
      <c r="AE374" s="2">
        <v>3</v>
      </c>
      <c r="AF374" s="2" t="s">
        <v>518</v>
      </c>
      <c r="AG374" s="2" t="s">
        <v>69</v>
      </c>
      <c r="AH374" s="2" t="s">
        <v>70</v>
      </c>
      <c r="AI374" s="2" t="s">
        <v>190</v>
      </c>
      <c r="AJ374" s="23">
        <v>23</v>
      </c>
      <c r="AK374" s="23">
        <v>2259</v>
      </c>
      <c r="AL374" s="23">
        <v>7143</v>
      </c>
      <c r="AM374" s="24">
        <v>0.31625367492650103</v>
      </c>
      <c r="AN374" s="44" t="str">
        <f>VLOOKUP(flu_aw25[[#This Row],[trust_code]],trust_lookup[],3,0)</f>
        <v>ELFT</v>
      </c>
    </row>
    <row r="375" spans="1:40" x14ac:dyDescent="0.35">
      <c r="A375" s="2" t="s">
        <v>519</v>
      </c>
      <c r="B375" s="2" t="s">
        <v>142</v>
      </c>
      <c r="C375" s="2" t="s">
        <v>143</v>
      </c>
      <c r="D375" s="2" t="s">
        <v>190</v>
      </c>
      <c r="E375" s="2" t="s">
        <v>74</v>
      </c>
      <c r="F375" s="2">
        <v>3</v>
      </c>
      <c r="G375" s="2">
        <v>1</v>
      </c>
      <c r="H375" s="14" t="str">
        <f>VLOOKUP(flu_group[[#This Row],[trust_code]],trust_lookup[],3,0)</f>
        <v>NELFT</v>
      </c>
      <c r="I375" s="14" t="str">
        <f>VLOOKUP(flu_group[[#This Row],[trust_code]],trust_lookup[],4,0)</f>
        <v>Mental Health &amp; Community</v>
      </c>
      <c r="K375" s="2" t="s">
        <v>518</v>
      </c>
      <c r="L375" s="2" t="s">
        <v>89</v>
      </c>
      <c r="M375" s="2" t="s">
        <v>90</v>
      </c>
      <c r="N375" s="2" t="s">
        <v>193</v>
      </c>
      <c r="O375" s="2" t="s">
        <v>36</v>
      </c>
      <c r="P375" s="2">
        <v>362</v>
      </c>
      <c r="R375" s="43">
        <v>45579</v>
      </c>
      <c r="S375" s="2">
        <v>42</v>
      </c>
      <c r="T375" s="2" t="s">
        <v>519</v>
      </c>
      <c r="U375" s="2" t="s">
        <v>113</v>
      </c>
      <c r="V375" s="2" t="s">
        <v>114</v>
      </c>
      <c r="W375" s="2" t="s">
        <v>194</v>
      </c>
      <c r="X375" s="23">
        <v>304</v>
      </c>
      <c r="Y375" s="23">
        <v>823</v>
      </c>
      <c r="Z375" s="23">
        <v>3808</v>
      </c>
      <c r="AA375" s="24">
        <v>0.216123949579831</v>
      </c>
      <c r="AB375" s="14" t="str">
        <f>VLOOKUP(flu_aw24[[#This Row],[trust_code]],trust_lookup[],3,0)</f>
        <v>K&amp;R FT</v>
      </c>
      <c r="AD375" s="43">
        <v>46041</v>
      </c>
      <c r="AE375" s="2">
        <v>4</v>
      </c>
      <c r="AF375" s="2" t="s">
        <v>518</v>
      </c>
      <c r="AG375" s="2" t="s">
        <v>69</v>
      </c>
      <c r="AH375" s="2" t="s">
        <v>70</v>
      </c>
      <c r="AI375" s="2" t="s">
        <v>190</v>
      </c>
      <c r="AJ375" s="23">
        <v>7</v>
      </c>
      <c r="AK375" s="23">
        <v>2266</v>
      </c>
      <c r="AL375" s="23">
        <v>7143</v>
      </c>
      <c r="AM375" s="24">
        <v>0.31723365532689302</v>
      </c>
      <c r="AN375" s="44" t="str">
        <f>VLOOKUP(flu_aw25[[#This Row],[trust_code]],trust_lookup[],3,0)</f>
        <v>ELFT</v>
      </c>
    </row>
    <row r="376" spans="1:40" x14ac:dyDescent="0.35">
      <c r="A376" s="2" t="s">
        <v>519</v>
      </c>
      <c r="B376" s="2" t="s">
        <v>142</v>
      </c>
      <c r="C376" s="2" t="s">
        <v>143</v>
      </c>
      <c r="D376" s="2" t="s">
        <v>190</v>
      </c>
      <c r="E376" s="2" t="s">
        <v>42</v>
      </c>
      <c r="F376" s="2">
        <v>445</v>
      </c>
      <c r="G376" s="2">
        <v>179</v>
      </c>
      <c r="H376" s="14" t="str">
        <f>VLOOKUP(flu_group[[#This Row],[trust_code]],trust_lookup[],3,0)</f>
        <v>NELFT</v>
      </c>
      <c r="I376" s="14" t="str">
        <f>VLOOKUP(flu_group[[#This Row],[trust_code]],trust_lookup[],4,0)</f>
        <v>Mental Health &amp; Community</v>
      </c>
      <c r="K376" s="2" t="s">
        <v>518</v>
      </c>
      <c r="L376" s="2" t="s">
        <v>107</v>
      </c>
      <c r="M376" s="2" t="s">
        <v>108</v>
      </c>
      <c r="N376" s="2" t="s">
        <v>193</v>
      </c>
      <c r="O376" s="2" t="s">
        <v>68</v>
      </c>
      <c r="P376" s="2">
        <v>1463</v>
      </c>
      <c r="R376" s="43">
        <v>45586</v>
      </c>
      <c r="S376" s="2">
        <v>43</v>
      </c>
      <c r="T376" s="2" t="s">
        <v>519</v>
      </c>
      <c r="U376" s="2" t="s">
        <v>113</v>
      </c>
      <c r="V376" s="2" t="s">
        <v>114</v>
      </c>
      <c r="W376" s="2" t="s">
        <v>194</v>
      </c>
      <c r="X376" s="23">
        <v>194</v>
      </c>
      <c r="Y376" s="23">
        <v>1017</v>
      </c>
      <c r="Z376" s="23">
        <v>3808</v>
      </c>
      <c r="AA376" s="24">
        <v>0.26706932773109199</v>
      </c>
      <c r="AB376" s="14" t="str">
        <f>VLOOKUP(flu_aw24[[#This Row],[trust_code]],trust_lookup[],3,0)</f>
        <v>K&amp;R FT</v>
      </c>
      <c r="AD376" s="43">
        <v>46048</v>
      </c>
      <c r="AE376" s="2">
        <v>5</v>
      </c>
      <c r="AF376" s="2" t="s">
        <v>518</v>
      </c>
      <c r="AG376" s="2" t="s">
        <v>69</v>
      </c>
      <c r="AH376" s="2" t="s">
        <v>70</v>
      </c>
      <c r="AI376" s="2" t="s">
        <v>190</v>
      </c>
      <c r="AJ376" s="23">
        <v>10</v>
      </c>
      <c r="AK376" s="23">
        <v>2276</v>
      </c>
      <c r="AL376" s="23">
        <v>7143</v>
      </c>
      <c r="AM376" s="24">
        <v>0.31863362732745298</v>
      </c>
      <c r="AN376" s="44" t="str">
        <f>VLOOKUP(flu_aw25[[#This Row],[trust_code]],trust_lookup[],3,0)</f>
        <v>ELFT</v>
      </c>
    </row>
    <row r="377" spans="1:40" x14ac:dyDescent="0.35">
      <c r="A377" s="2" t="s">
        <v>519</v>
      </c>
      <c r="B377" s="2" t="s">
        <v>142</v>
      </c>
      <c r="C377" s="2" t="s">
        <v>143</v>
      </c>
      <c r="D377" s="2" t="s">
        <v>190</v>
      </c>
      <c r="E377" s="2" t="s">
        <v>53</v>
      </c>
      <c r="F377" s="2">
        <v>2226</v>
      </c>
      <c r="G377" s="2">
        <v>621</v>
      </c>
      <c r="H377" s="14" t="str">
        <f>VLOOKUP(flu_group[[#This Row],[trust_code]],trust_lookup[],3,0)</f>
        <v>NELFT</v>
      </c>
      <c r="I377" s="14" t="str">
        <f>VLOOKUP(flu_group[[#This Row],[trust_code]],trust_lookup[],4,0)</f>
        <v>Mental Health &amp; Community</v>
      </c>
      <c r="K377" s="2" t="s">
        <v>518</v>
      </c>
      <c r="L377" s="2" t="s">
        <v>107</v>
      </c>
      <c r="M377" s="2" t="s">
        <v>108</v>
      </c>
      <c r="N377" s="2" t="s">
        <v>193</v>
      </c>
      <c r="O377" s="2" t="s">
        <v>135</v>
      </c>
      <c r="P377" s="2">
        <v>88</v>
      </c>
      <c r="R377" s="43">
        <v>45593</v>
      </c>
      <c r="S377" s="2">
        <v>44</v>
      </c>
      <c r="T377" s="2" t="s">
        <v>519</v>
      </c>
      <c r="U377" s="2" t="s">
        <v>113</v>
      </c>
      <c r="V377" s="2" t="s">
        <v>114</v>
      </c>
      <c r="W377" s="2" t="s">
        <v>194</v>
      </c>
      <c r="X377" s="23">
        <v>145</v>
      </c>
      <c r="Y377" s="23">
        <v>1162</v>
      </c>
      <c r="Z377" s="23">
        <v>3808</v>
      </c>
      <c r="AA377" s="24">
        <v>0.30514705882352899</v>
      </c>
      <c r="AB377" s="14" t="str">
        <f>VLOOKUP(flu_aw24[[#This Row],[trust_code]],trust_lookup[],3,0)</f>
        <v>K&amp;R FT</v>
      </c>
      <c r="AD377" s="43">
        <v>46055</v>
      </c>
      <c r="AE377" s="2">
        <v>6</v>
      </c>
      <c r="AF377" s="2" t="s">
        <v>518</v>
      </c>
      <c r="AG377" s="2" t="s">
        <v>69</v>
      </c>
      <c r="AH377" s="2" t="s">
        <v>70</v>
      </c>
      <c r="AI377" s="2" t="s">
        <v>190</v>
      </c>
      <c r="AJ377" s="23">
        <v>8</v>
      </c>
      <c r="AK377" s="23">
        <v>2284</v>
      </c>
      <c r="AL377" s="23">
        <v>7143</v>
      </c>
      <c r="AM377" s="24">
        <v>0.319753604927901</v>
      </c>
      <c r="AN377" s="44" t="str">
        <f>VLOOKUP(flu_aw25[[#This Row],[trust_code]],trust_lookup[],3,0)</f>
        <v>ELFT</v>
      </c>
    </row>
    <row r="378" spans="1:40" x14ac:dyDescent="0.35">
      <c r="A378" s="2" t="s">
        <v>519</v>
      </c>
      <c r="B378" s="2" t="s">
        <v>142</v>
      </c>
      <c r="C378" s="2" t="s">
        <v>143</v>
      </c>
      <c r="D378" s="2" t="s">
        <v>190</v>
      </c>
      <c r="E378" s="2" t="s">
        <v>35</v>
      </c>
      <c r="F378" s="2">
        <v>14</v>
      </c>
      <c r="G378" s="2">
        <v>2</v>
      </c>
      <c r="H378" s="14" t="str">
        <f>VLOOKUP(flu_group[[#This Row],[trust_code]],trust_lookup[],3,0)</f>
        <v>NELFT</v>
      </c>
      <c r="I378" s="14" t="str">
        <f>VLOOKUP(flu_group[[#This Row],[trust_code]],trust_lookup[],4,0)</f>
        <v>Mental Health &amp; Community</v>
      </c>
      <c r="K378" s="2" t="s">
        <v>518</v>
      </c>
      <c r="L378" s="2" t="s">
        <v>107</v>
      </c>
      <c r="M378" s="2" t="s">
        <v>108</v>
      </c>
      <c r="N378" s="2" t="s">
        <v>193</v>
      </c>
      <c r="O378" s="2" t="s">
        <v>54</v>
      </c>
      <c r="P378" s="2">
        <v>386</v>
      </c>
      <c r="R378" s="43">
        <v>45600</v>
      </c>
      <c r="S378" s="2">
        <v>45</v>
      </c>
      <c r="T378" s="2" t="s">
        <v>519</v>
      </c>
      <c r="U378" s="2" t="s">
        <v>113</v>
      </c>
      <c r="V378" s="2" t="s">
        <v>114</v>
      </c>
      <c r="W378" s="2" t="s">
        <v>194</v>
      </c>
      <c r="X378" s="23">
        <v>96</v>
      </c>
      <c r="Y378" s="23">
        <v>1258</v>
      </c>
      <c r="Z378" s="23">
        <v>3808</v>
      </c>
      <c r="AA378" s="24">
        <v>0.33035714285714202</v>
      </c>
      <c r="AB378" s="14" t="str">
        <f>VLOOKUP(flu_aw24[[#This Row],[trust_code]],trust_lookup[],3,0)</f>
        <v>K&amp;R FT</v>
      </c>
      <c r="AD378" s="43">
        <v>46062</v>
      </c>
      <c r="AE378" s="2">
        <v>7</v>
      </c>
      <c r="AF378" s="2" t="s">
        <v>518</v>
      </c>
      <c r="AG378" s="2" t="s">
        <v>69</v>
      </c>
      <c r="AH378" s="2" t="s">
        <v>70</v>
      </c>
      <c r="AI378" s="2" t="s">
        <v>190</v>
      </c>
      <c r="AJ378" s="23">
        <v>6</v>
      </c>
      <c r="AK378" s="23">
        <v>2290</v>
      </c>
      <c r="AL378" s="23">
        <v>7143</v>
      </c>
      <c r="AM378" s="24">
        <v>0.32059358812823702</v>
      </c>
      <c r="AN378" s="44" t="str">
        <f>VLOOKUP(flu_aw25[[#This Row],[trust_code]],trust_lookup[],3,0)</f>
        <v>ELFT</v>
      </c>
    </row>
    <row r="379" spans="1:40" x14ac:dyDescent="0.35">
      <c r="A379" s="2" t="s">
        <v>519</v>
      </c>
      <c r="B379" s="2" t="s">
        <v>25</v>
      </c>
      <c r="C379" s="2" t="s">
        <v>26</v>
      </c>
      <c r="D379" s="2" t="s">
        <v>192</v>
      </c>
      <c r="E379" s="2" t="s">
        <v>67</v>
      </c>
      <c r="F379" s="2">
        <v>776</v>
      </c>
      <c r="G379" s="2">
        <v>230</v>
      </c>
      <c r="H379" s="14" t="str">
        <f>VLOOKUP(flu_group[[#This Row],[trust_code]],trust_lookup[],3,0)</f>
        <v>CNWL</v>
      </c>
      <c r="I379" s="14" t="str">
        <f>VLOOKUP(flu_group[[#This Row],[trust_code]],trust_lookup[],4,0)</f>
        <v>Mental Health &amp; Community</v>
      </c>
      <c r="K379" s="2" t="s">
        <v>518</v>
      </c>
      <c r="L379" s="2" t="s">
        <v>107</v>
      </c>
      <c r="M379" s="2" t="s">
        <v>108</v>
      </c>
      <c r="N379" s="2" t="s">
        <v>193</v>
      </c>
      <c r="O379" s="2" t="s">
        <v>129</v>
      </c>
      <c r="P379" s="2">
        <v>21</v>
      </c>
      <c r="R379" s="43">
        <v>45607</v>
      </c>
      <c r="S379" s="2">
        <v>46</v>
      </c>
      <c r="T379" s="2" t="s">
        <v>519</v>
      </c>
      <c r="U379" s="2" t="s">
        <v>113</v>
      </c>
      <c r="V379" s="2" t="s">
        <v>114</v>
      </c>
      <c r="W379" s="2" t="s">
        <v>194</v>
      </c>
      <c r="X379" s="23">
        <v>99</v>
      </c>
      <c r="Y379" s="23">
        <v>1357</v>
      </c>
      <c r="Z379" s="23">
        <v>3808</v>
      </c>
      <c r="AA379" s="24">
        <v>0.35635504201680601</v>
      </c>
      <c r="AB379" s="14" t="str">
        <f>VLOOKUP(flu_aw24[[#This Row],[trust_code]],trust_lookup[],3,0)</f>
        <v>K&amp;R FT</v>
      </c>
      <c r="AD379" s="43">
        <v>46069</v>
      </c>
      <c r="AE379" s="2">
        <v>8</v>
      </c>
      <c r="AF379" s="2" t="s">
        <v>518</v>
      </c>
      <c r="AG379" s="2" t="s">
        <v>69</v>
      </c>
      <c r="AH379" s="2" t="s">
        <v>70</v>
      </c>
      <c r="AI379" s="2" t="s">
        <v>190</v>
      </c>
      <c r="AJ379" s="23">
        <v>3</v>
      </c>
      <c r="AK379" s="23">
        <v>2293</v>
      </c>
      <c r="AL379" s="23">
        <v>7143</v>
      </c>
      <c r="AM379" s="24">
        <v>0.321013579728405</v>
      </c>
      <c r="AN379" s="44" t="str">
        <f>VLOOKUP(flu_aw25[[#This Row],[trust_code]],trust_lookup[],3,0)</f>
        <v>ELFT</v>
      </c>
    </row>
    <row r="380" spans="1:40" x14ac:dyDescent="0.35">
      <c r="A380" s="2" t="s">
        <v>519</v>
      </c>
      <c r="B380" s="2" t="s">
        <v>25</v>
      </c>
      <c r="C380" s="2" t="s">
        <v>26</v>
      </c>
      <c r="D380" s="2" t="s">
        <v>192</v>
      </c>
      <c r="E380" s="2" t="s">
        <v>81</v>
      </c>
      <c r="F380" s="2">
        <v>1630</v>
      </c>
      <c r="G380" s="2">
        <v>382</v>
      </c>
      <c r="H380" s="14" t="str">
        <f>VLOOKUP(flu_group[[#This Row],[trust_code]],trust_lookup[],3,0)</f>
        <v>CNWL</v>
      </c>
      <c r="I380" s="14" t="str">
        <f>VLOOKUP(flu_group[[#This Row],[trust_code]],trust_lookup[],4,0)</f>
        <v>Mental Health &amp; Community</v>
      </c>
      <c r="K380" s="2" t="s">
        <v>518</v>
      </c>
      <c r="L380" s="2" t="s">
        <v>107</v>
      </c>
      <c r="M380" s="2" t="s">
        <v>108</v>
      </c>
      <c r="N380" s="2" t="s">
        <v>193</v>
      </c>
      <c r="O380" s="2" t="s">
        <v>47</v>
      </c>
      <c r="P380" s="2">
        <v>52</v>
      </c>
      <c r="R380" s="43">
        <v>45614</v>
      </c>
      <c r="S380" s="2">
        <v>47</v>
      </c>
      <c r="T380" s="2" t="s">
        <v>519</v>
      </c>
      <c r="U380" s="2" t="s">
        <v>113</v>
      </c>
      <c r="V380" s="2" t="s">
        <v>114</v>
      </c>
      <c r="W380" s="2" t="s">
        <v>194</v>
      </c>
      <c r="X380" s="23">
        <v>54</v>
      </c>
      <c r="Y380" s="23">
        <v>1411</v>
      </c>
      <c r="Z380" s="23">
        <v>3808</v>
      </c>
      <c r="AA380" s="24">
        <v>0.37053571428571402</v>
      </c>
      <c r="AB380" s="14" t="str">
        <f>VLOOKUP(flu_aw24[[#This Row],[trust_code]],trust_lookup[],3,0)</f>
        <v>K&amp;R FT</v>
      </c>
      <c r="AD380" s="43">
        <v>46076</v>
      </c>
      <c r="AE380" s="2">
        <v>9</v>
      </c>
      <c r="AF380" s="2" t="s">
        <v>518</v>
      </c>
      <c r="AG380" s="2" t="s">
        <v>69</v>
      </c>
      <c r="AH380" s="2" t="s">
        <v>70</v>
      </c>
      <c r="AI380" s="2" t="s">
        <v>190</v>
      </c>
      <c r="AJ380" s="23">
        <v>3</v>
      </c>
      <c r="AK380" s="23">
        <v>2296</v>
      </c>
      <c r="AL380" s="23">
        <v>7143</v>
      </c>
      <c r="AM380" s="24">
        <v>0.32143357132857298</v>
      </c>
      <c r="AN380" s="44" t="str">
        <f>VLOOKUP(flu_aw25[[#This Row],[trust_code]],trust_lookup[],3,0)</f>
        <v>ELFT</v>
      </c>
    </row>
    <row r="381" spans="1:40" x14ac:dyDescent="0.35">
      <c r="A381" s="2" t="s">
        <v>519</v>
      </c>
      <c r="B381" s="2" t="s">
        <v>25</v>
      </c>
      <c r="C381" s="2" t="s">
        <v>26</v>
      </c>
      <c r="D381" s="2" t="s">
        <v>192</v>
      </c>
      <c r="E381" s="2" t="s">
        <v>46</v>
      </c>
      <c r="F381" s="2">
        <v>92</v>
      </c>
      <c r="G381" s="2">
        <v>36</v>
      </c>
      <c r="H381" s="14" t="str">
        <f>VLOOKUP(flu_group[[#This Row],[trust_code]],trust_lookup[],3,0)</f>
        <v>CNWL</v>
      </c>
      <c r="I381" s="14" t="str">
        <f>VLOOKUP(flu_group[[#This Row],[trust_code]],trust_lookup[],4,0)</f>
        <v>Mental Health &amp; Community</v>
      </c>
      <c r="K381" s="2" t="s">
        <v>518</v>
      </c>
      <c r="L381" s="2" t="s">
        <v>107</v>
      </c>
      <c r="M381" s="2" t="s">
        <v>108</v>
      </c>
      <c r="N381" s="2" t="s">
        <v>193</v>
      </c>
      <c r="O381" s="2" t="s">
        <v>94</v>
      </c>
      <c r="P381" s="2">
        <v>37</v>
      </c>
      <c r="R381" s="43">
        <v>45621</v>
      </c>
      <c r="S381" s="2">
        <v>48</v>
      </c>
      <c r="T381" s="2" t="s">
        <v>519</v>
      </c>
      <c r="U381" s="2" t="s">
        <v>113</v>
      </c>
      <c r="V381" s="2" t="s">
        <v>114</v>
      </c>
      <c r="W381" s="2" t="s">
        <v>194</v>
      </c>
      <c r="X381" s="23">
        <v>49</v>
      </c>
      <c r="Y381" s="23">
        <v>1460</v>
      </c>
      <c r="Z381" s="23">
        <v>3808</v>
      </c>
      <c r="AA381" s="24">
        <v>0.38340336134453701</v>
      </c>
      <c r="AB381" s="14" t="str">
        <f>VLOOKUP(flu_aw24[[#This Row],[trust_code]],trust_lookup[],3,0)</f>
        <v>K&amp;R FT</v>
      </c>
      <c r="AD381" s="43">
        <v>45901</v>
      </c>
      <c r="AE381" s="2">
        <v>36</v>
      </c>
      <c r="AF381" s="2" t="s">
        <v>518</v>
      </c>
      <c r="AG381" s="2" t="s">
        <v>157</v>
      </c>
      <c r="AH381" s="2" t="s">
        <v>158</v>
      </c>
      <c r="AI381" s="2" t="s">
        <v>27</v>
      </c>
      <c r="AJ381" s="23">
        <v>2</v>
      </c>
      <c r="AK381" s="23">
        <v>2</v>
      </c>
      <c r="AL381" s="23">
        <v>18776</v>
      </c>
      <c r="AM381" s="24">
        <v>1.06518960374946E-4</v>
      </c>
      <c r="AN381" s="44" t="str">
        <f>VLOOKUP(flu_aw25[[#This Row],[trust_code]],trust_lookup[],3,0)</f>
        <v>Royal Free</v>
      </c>
    </row>
    <row r="382" spans="1:40" x14ac:dyDescent="0.35">
      <c r="A382" s="2" t="s">
        <v>519</v>
      </c>
      <c r="B382" s="2" t="s">
        <v>25</v>
      </c>
      <c r="C382" s="2" t="s">
        <v>26</v>
      </c>
      <c r="D382" s="2" t="s">
        <v>192</v>
      </c>
      <c r="E382" s="2" t="s">
        <v>60</v>
      </c>
      <c r="F382" s="2">
        <v>921</v>
      </c>
      <c r="G382" s="2">
        <v>307</v>
      </c>
      <c r="H382" s="14" t="str">
        <f>VLOOKUP(flu_group[[#This Row],[trust_code]],trust_lookup[],3,0)</f>
        <v>CNWL</v>
      </c>
      <c r="I382" s="14" t="str">
        <f>VLOOKUP(flu_group[[#This Row],[trust_code]],trust_lookup[],4,0)</f>
        <v>Mental Health &amp; Community</v>
      </c>
      <c r="K382" s="2" t="s">
        <v>518</v>
      </c>
      <c r="L382" s="2" t="s">
        <v>107</v>
      </c>
      <c r="M382" s="2" t="s">
        <v>108</v>
      </c>
      <c r="N382" s="2" t="s">
        <v>193</v>
      </c>
      <c r="O382" s="2" t="s">
        <v>29</v>
      </c>
      <c r="P382" s="2">
        <v>86</v>
      </c>
      <c r="R382" s="43">
        <v>45628</v>
      </c>
      <c r="S382" s="2">
        <v>49</v>
      </c>
      <c r="T382" s="2" t="s">
        <v>519</v>
      </c>
      <c r="U382" s="2" t="s">
        <v>113</v>
      </c>
      <c r="V382" s="2" t="s">
        <v>114</v>
      </c>
      <c r="W382" s="2" t="s">
        <v>194</v>
      </c>
      <c r="X382" s="23">
        <v>61</v>
      </c>
      <c r="Y382" s="23">
        <v>1521</v>
      </c>
      <c r="Z382" s="23">
        <v>3808</v>
      </c>
      <c r="AA382" s="24">
        <v>0.39942226890756299</v>
      </c>
      <c r="AB382" s="14" t="str">
        <f>VLOOKUP(flu_aw24[[#This Row],[trust_code]],trust_lookup[],3,0)</f>
        <v>K&amp;R FT</v>
      </c>
      <c r="AD382" s="43">
        <v>45908</v>
      </c>
      <c r="AE382" s="2">
        <v>37</v>
      </c>
      <c r="AF382" s="2" t="s">
        <v>518</v>
      </c>
      <c r="AG382" s="2" t="s">
        <v>157</v>
      </c>
      <c r="AH382" s="2" t="s">
        <v>158</v>
      </c>
      <c r="AI382" s="2" t="s">
        <v>27</v>
      </c>
      <c r="AJ382" s="23">
        <v>1</v>
      </c>
      <c r="AK382" s="23">
        <v>3</v>
      </c>
      <c r="AL382" s="23">
        <v>18776</v>
      </c>
      <c r="AM382" s="24">
        <v>1.5977844056242E-4</v>
      </c>
      <c r="AN382" s="44" t="str">
        <f>VLOOKUP(flu_aw25[[#This Row],[trust_code]],trust_lookup[],3,0)</f>
        <v>Royal Free</v>
      </c>
    </row>
    <row r="383" spans="1:40" x14ac:dyDescent="0.35">
      <c r="A383" s="2" t="s">
        <v>519</v>
      </c>
      <c r="B383" s="2" t="s">
        <v>25</v>
      </c>
      <c r="C383" s="2" t="s">
        <v>26</v>
      </c>
      <c r="D383" s="2" t="s">
        <v>192</v>
      </c>
      <c r="E383" s="2" t="s">
        <v>28</v>
      </c>
      <c r="F383" s="2">
        <v>14</v>
      </c>
      <c r="G383" s="2">
        <v>9</v>
      </c>
      <c r="H383" s="14" t="str">
        <f>VLOOKUP(flu_group[[#This Row],[trust_code]],trust_lookup[],3,0)</f>
        <v>CNWL</v>
      </c>
      <c r="I383" s="14" t="str">
        <f>VLOOKUP(flu_group[[#This Row],[trust_code]],trust_lookup[],4,0)</f>
        <v>Mental Health &amp; Community</v>
      </c>
      <c r="K383" s="2" t="s">
        <v>518</v>
      </c>
      <c r="L383" s="2" t="s">
        <v>107</v>
      </c>
      <c r="M383" s="2" t="s">
        <v>108</v>
      </c>
      <c r="N383" s="2" t="s">
        <v>193</v>
      </c>
      <c r="O383" s="2" t="s">
        <v>123</v>
      </c>
      <c r="P383" s="2">
        <v>355</v>
      </c>
      <c r="R383" s="43">
        <v>45635</v>
      </c>
      <c r="S383" s="2">
        <v>50</v>
      </c>
      <c r="T383" s="2" t="s">
        <v>519</v>
      </c>
      <c r="U383" s="2" t="s">
        <v>113</v>
      </c>
      <c r="V383" s="2" t="s">
        <v>114</v>
      </c>
      <c r="W383" s="2" t="s">
        <v>194</v>
      </c>
      <c r="X383" s="23">
        <v>49</v>
      </c>
      <c r="Y383" s="23">
        <v>1570</v>
      </c>
      <c r="Z383" s="23">
        <v>3808</v>
      </c>
      <c r="AA383" s="24">
        <v>0.41228991596638598</v>
      </c>
      <c r="AB383" s="14" t="str">
        <f>VLOOKUP(flu_aw24[[#This Row],[trust_code]],trust_lookup[],3,0)</f>
        <v>K&amp;R FT</v>
      </c>
      <c r="AD383" s="43">
        <v>45915</v>
      </c>
      <c r="AE383" s="2">
        <v>38</v>
      </c>
      <c r="AF383" s="2" t="s">
        <v>518</v>
      </c>
      <c r="AG383" s="2" t="s">
        <v>157</v>
      </c>
      <c r="AH383" s="2" t="s">
        <v>158</v>
      </c>
      <c r="AI383" s="2" t="s">
        <v>27</v>
      </c>
      <c r="AJ383" s="23">
        <v>13</v>
      </c>
      <c r="AK383" s="23">
        <v>16</v>
      </c>
      <c r="AL383" s="23">
        <v>18776</v>
      </c>
      <c r="AM383" s="24">
        <v>8.5215168299957302E-4</v>
      </c>
      <c r="AN383" s="44" t="str">
        <f>VLOOKUP(flu_aw25[[#This Row],[trust_code]],trust_lookup[],3,0)</f>
        <v>Royal Free</v>
      </c>
    </row>
    <row r="384" spans="1:40" x14ac:dyDescent="0.35">
      <c r="A384" s="2" t="s">
        <v>519</v>
      </c>
      <c r="B384" s="2" t="s">
        <v>25</v>
      </c>
      <c r="C384" s="2" t="s">
        <v>26</v>
      </c>
      <c r="D384" s="2" t="s">
        <v>192</v>
      </c>
      <c r="E384" s="2" t="s">
        <v>74</v>
      </c>
      <c r="F384" s="2">
        <v>5</v>
      </c>
      <c r="G384" s="2">
        <v>1</v>
      </c>
      <c r="H384" s="14" t="str">
        <f>VLOOKUP(flu_group[[#This Row],[trust_code]],trust_lookup[],3,0)</f>
        <v>CNWL</v>
      </c>
      <c r="I384" s="14" t="str">
        <f>VLOOKUP(flu_group[[#This Row],[trust_code]],trust_lookup[],4,0)</f>
        <v>Mental Health &amp; Community</v>
      </c>
      <c r="K384" s="2" t="s">
        <v>518</v>
      </c>
      <c r="L384" s="2" t="s">
        <v>107</v>
      </c>
      <c r="M384" s="2" t="s">
        <v>108</v>
      </c>
      <c r="N384" s="2" t="s">
        <v>193</v>
      </c>
      <c r="O384" s="2" t="s">
        <v>82</v>
      </c>
      <c r="P384" s="2">
        <v>64</v>
      </c>
      <c r="R384" s="43">
        <v>45642</v>
      </c>
      <c r="S384" s="2">
        <v>51</v>
      </c>
      <c r="T384" s="2" t="s">
        <v>519</v>
      </c>
      <c r="U384" s="2" t="s">
        <v>113</v>
      </c>
      <c r="V384" s="2" t="s">
        <v>114</v>
      </c>
      <c r="W384" s="2" t="s">
        <v>194</v>
      </c>
      <c r="X384" s="23">
        <v>24</v>
      </c>
      <c r="Y384" s="23">
        <v>1594</v>
      </c>
      <c r="Z384" s="23">
        <v>3808</v>
      </c>
      <c r="AA384" s="24">
        <v>0.41859243697478898</v>
      </c>
      <c r="AB384" s="14" t="str">
        <f>VLOOKUP(flu_aw24[[#This Row],[trust_code]],trust_lookup[],3,0)</f>
        <v>K&amp;R FT</v>
      </c>
      <c r="AD384" s="43">
        <v>45922</v>
      </c>
      <c r="AE384" s="2">
        <v>39</v>
      </c>
      <c r="AF384" s="2" t="s">
        <v>518</v>
      </c>
      <c r="AG384" s="2" t="s">
        <v>157</v>
      </c>
      <c r="AH384" s="2" t="s">
        <v>158</v>
      </c>
      <c r="AI384" s="2" t="s">
        <v>27</v>
      </c>
      <c r="AJ384" s="23">
        <v>16</v>
      </c>
      <c r="AK384" s="23">
        <v>32</v>
      </c>
      <c r="AL384" s="23">
        <v>18776</v>
      </c>
      <c r="AM384" s="24">
        <v>1.70430336599914E-3</v>
      </c>
      <c r="AN384" s="44" t="str">
        <f>VLOOKUP(flu_aw25[[#This Row],[trust_code]],trust_lookup[],3,0)</f>
        <v>Royal Free</v>
      </c>
    </row>
    <row r="385" spans="1:40" x14ac:dyDescent="0.35">
      <c r="A385" s="2" t="s">
        <v>519</v>
      </c>
      <c r="B385" s="2" t="s">
        <v>25</v>
      </c>
      <c r="C385" s="2" t="s">
        <v>26</v>
      </c>
      <c r="D385" s="2" t="s">
        <v>192</v>
      </c>
      <c r="E385" s="2" t="s">
        <v>42</v>
      </c>
      <c r="F385" s="2">
        <v>489</v>
      </c>
      <c r="G385" s="2">
        <v>210</v>
      </c>
      <c r="H385" s="14" t="str">
        <f>VLOOKUP(flu_group[[#This Row],[trust_code]],trust_lookup[],3,0)</f>
        <v>CNWL</v>
      </c>
      <c r="I385" s="14" t="str">
        <f>VLOOKUP(flu_group[[#This Row],[trust_code]],trust_lookup[],4,0)</f>
        <v>Mental Health &amp; Community</v>
      </c>
      <c r="K385" s="2" t="s">
        <v>518</v>
      </c>
      <c r="L385" s="2" t="s">
        <v>107</v>
      </c>
      <c r="M385" s="2" t="s">
        <v>108</v>
      </c>
      <c r="N385" s="2" t="s">
        <v>193</v>
      </c>
      <c r="O385" s="2" t="s">
        <v>88</v>
      </c>
      <c r="P385" s="2">
        <v>33</v>
      </c>
      <c r="R385" s="43">
        <v>45656</v>
      </c>
      <c r="S385" s="2">
        <v>1</v>
      </c>
      <c r="T385" s="2" t="s">
        <v>519</v>
      </c>
      <c r="U385" s="2" t="s">
        <v>113</v>
      </c>
      <c r="V385" s="2" t="s">
        <v>114</v>
      </c>
      <c r="W385" s="2" t="s">
        <v>194</v>
      </c>
      <c r="X385" s="23">
        <v>1</v>
      </c>
      <c r="Y385" s="23">
        <v>1595</v>
      </c>
      <c r="Z385" s="23">
        <v>3808</v>
      </c>
      <c r="AA385" s="24">
        <v>0.41885504201680601</v>
      </c>
      <c r="AB385" s="14" t="str">
        <f>VLOOKUP(flu_aw24[[#This Row],[trust_code]],trust_lookup[],3,0)</f>
        <v>K&amp;R FT</v>
      </c>
      <c r="AD385" s="43">
        <v>45929</v>
      </c>
      <c r="AE385" s="2">
        <v>40</v>
      </c>
      <c r="AF385" s="2" t="s">
        <v>518</v>
      </c>
      <c r="AG385" s="2" t="s">
        <v>157</v>
      </c>
      <c r="AH385" s="2" t="s">
        <v>158</v>
      </c>
      <c r="AI385" s="2" t="s">
        <v>27</v>
      </c>
      <c r="AJ385" s="23">
        <v>756</v>
      </c>
      <c r="AK385" s="23">
        <v>788</v>
      </c>
      <c r="AL385" s="23">
        <v>18776</v>
      </c>
      <c r="AM385" s="24">
        <v>4.1968470387729002E-2</v>
      </c>
      <c r="AN385" s="44" t="str">
        <f>VLOOKUP(flu_aw25[[#This Row],[trust_code]],trust_lookup[],3,0)</f>
        <v>Royal Free</v>
      </c>
    </row>
    <row r="386" spans="1:40" x14ac:dyDescent="0.35">
      <c r="A386" s="2" t="s">
        <v>519</v>
      </c>
      <c r="B386" s="2" t="s">
        <v>25</v>
      </c>
      <c r="C386" s="2" t="s">
        <v>26</v>
      </c>
      <c r="D386" s="2" t="s">
        <v>192</v>
      </c>
      <c r="E386" s="2" t="s">
        <v>53</v>
      </c>
      <c r="F386" s="2">
        <v>1897</v>
      </c>
      <c r="G386" s="2">
        <v>555</v>
      </c>
      <c r="H386" s="14" t="str">
        <f>VLOOKUP(flu_group[[#This Row],[trust_code]],trust_lookup[],3,0)</f>
        <v>CNWL</v>
      </c>
      <c r="I386" s="14" t="str">
        <f>VLOOKUP(flu_group[[#This Row],[trust_code]],trust_lookup[],4,0)</f>
        <v>Mental Health &amp; Community</v>
      </c>
      <c r="K386" s="2" t="s">
        <v>518</v>
      </c>
      <c r="L386" s="2" t="s">
        <v>107</v>
      </c>
      <c r="M386" s="2" t="s">
        <v>108</v>
      </c>
      <c r="N386" s="2" t="s">
        <v>193</v>
      </c>
      <c r="O386" s="2" t="s">
        <v>141</v>
      </c>
      <c r="P386" s="2">
        <v>559</v>
      </c>
      <c r="R386" s="43">
        <v>45663</v>
      </c>
      <c r="S386" s="2">
        <v>2</v>
      </c>
      <c r="T386" s="2" t="s">
        <v>519</v>
      </c>
      <c r="U386" s="2" t="s">
        <v>113</v>
      </c>
      <c r="V386" s="2" t="s">
        <v>114</v>
      </c>
      <c r="W386" s="2" t="s">
        <v>194</v>
      </c>
      <c r="X386" s="23">
        <v>22</v>
      </c>
      <c r="Y386" s="23">
        <v>1617</v>
      </c>
      <c r="Z386" s="23">
        <v>3808</v>
      </c>
      <c r="AA386" s="24">
        <v>0.42463235294117602</v>
      </c>
      <c r="AB386" s="14" t="str">
        <f>VLOOKUP(flu_aw24[[#This Row],[trust_code]],trust_lookup[],3,0)</f>
        <v>K&amp;R FT</v>
      </c>
      <c r="AD386" s="43">
        <v>45936</v>
      </c>
      <c r="AE386" s="2">
        <v>41</v>
      </c>
      <c r="AF386" s="2" t="s">
        <v>518</v>
      </c>
      <c r="AG386" s="2" t="s">
        <v>157</v>
      </c>
      <c r="AH386" s="2" t="s">
        <v>158</v>
      </c>
      <c r="AI386" s="2" t="s">
        <v>27</v>
      </c>
      <c r="AJ386" s="23">
        <v>1008</v>
      </c>
      <c r="AK386" s="23">
        <v>1796</v>
      </c>
      <c r="AL386" s="23">
        <v>18776</v>
      </c>
      <c r="AM386" s="24">
        <v>9.5654026416702106E-2</v>
      </c>
      <c r="AN386" s="44" t="str">
        <f>VLOOKUP(flu_aw25[[#This Row],[trust_code]],trust_lookup[],3,0)</f>
        <v>Royal Free</v>
      </c>
    </row>
    <row r="387" spans="1:40" x14ac:dyDescent="0.35">
      <c r="A387" s="2" t="s">
        <v>519</v>
      </c>
      <c r="B387" s="2" t="s">
        <v>25</v>
      </c>
      <c r="C387" s="2" t="s">
        <v>26</v>
      </c>
      <c r="D387" s="2" t="s">
        <v>192</v>
      </c>
      <c r="E387" s="2" t="s">
        <v>35</v>
      </c>
      <c r="F387" s="2">
        <v>46</v>
      </c>
      <c r="G387" s="2">
        <v>11</v>
      </c>
      <c r="H387" s="14" t="str">
        <f>VLOOKUP(flu_group[[#This Row],[trust_code]],trust_lookup[],3,0)</f>
        <v>CNWL</v>
      </c>
      <c r="I387" s="14" t="str">
        <f>VLOOKUP(flu_group[[#This Row],[trust_code]],trust_lookup[],4,0)</f>
        <v>Mental Health &amp; Community</v>
      </c>
      <c r="K387" s="2" t="s">
        <v>518</v>
      </c>
      <c r="L387" s="2" t="s">
        <v>107</v>
      </c>
      <c r="M387" s="2" t="s">
        <v>108</v>
      </c>
      <c r="N387" s="2" t="s">
        <v>193</v>
      </c>
      <c r="O387" s="2" t="s">
        <v>61</v>
      </c>
      <c r="P387" s="2">
        <v>75</v>
      </c>
      <c r="R387" s="43">
        <v>45670</v>
      </c>
      <c r="S387" s="2">
        <v>3</v>
      </c>
      <c r="T387" s="2" t="s">
        <v>519</v>
      </c>
      <c r="U387" s="2" t="s">
        <v>113</v>
      </c>
      <c r="V387" s="2" t="s">
        <v>114</v>
      </c>
      <c r="W387" s="2" t="s">
        <v>194</v>
      </c>
      <c r="X387" s="23">
        <v>9</v>
      </c>
      <c r="Y387" s="23">
        <v>1626</v>
      </c>
      <c r="Z387" s="23">
        <v>3808</v>
      </c>
      <c r="AA387" s="24">
        <v>0.42699579831932699</v>
      </c>
      <c r="AB387" s="14" t="str">
        <f>VLOOKUP(flu_aw24[[#This Row],[trust_code]],trust_lookup[],3,0)</f>
        <v>K&amp;R FT</v>
      </c>
      <c r="AD387" s="43">
        <v>45943</v>
      </c>
      <c r="AE387" s="2">
        <v>42</v>
      </c>
      <c r="AF387" s="2" t="s">
        <v>518</v>
      </c>
      <c r="AG387" s="2" t="s">
        <v>157</v>
      </c>
      <c r="AH387" s="2" t="s">
        <v>158</v>
      </c>
      <c r="AI387" s="2" t="s">
        <v>27</v>
      </c>
      <c r="AJ387" s="23">
        <v>894</v>
      </c>
      <c r="AK387" s="23">
        <v>2690</v>
      </c>
      <c r="AL387" s="23">
        <v>18776</v>
      </c>
      <c r="AM387" s="24">
        <v>0.14326800170430301</v>
      </c>
      <c r="AN387" s="44" t="str">
        <f>VLOOKUP(flu_aw25[[#This Row],[trust_code]],trust_lookup[],3,0)</f>
        <v>Royal Free</v>
      </c>
    </row>
    <row r="388" spans="1:40" x14ac:dyDescent="0.35">
      <c r="A388" s="2" t="s">
        <v>519</v>
      </c>
      <c r="B388" s="2" t="s">
        <v>48</v>
      </c>
      <c r="C388" s="2" t="s">
        <v>49</v>
      </c>
      <c r="D388" s="2" t="s">
        <v>192</v>
      </c>
      <c r="E388" s="2" t="s">
        <v>67</v>
      </c>
      <c r="F388" s="2">
        <v>91</v>
      </c>
      <c r="G388" s="2">
        <v>29</v>
      </c>
      <c r="H388" s="14" t="str">
        <f>VLOOKUP(flu_group[[#This Row],[trust_code]],trust_lookup[],3,0)</f>
        <v>CLCH</v>
      </c>
      <c r="I388" s="14" t="str">
        <f>VLOOKUP(flu_group[[#This Row],[trust_code]],trust_lookup[],4,0)</f>
        <v>Community</v>
      </c>
      <c r="K388" s="2" t="s">
        <v>518</v>
      </c>
      <c r="L388" s="2" t="s">
        <v>107</v>
      </c>
      <c r="M388" s="2" t="s">
        <v>108</v>
      </c>
      <c r="N388" s="2" t="s">
        <v>193</v>
      </c>
      <c r="O388" s="2" t="s">
        <v>100</v>
      </c>
      <c r="P388" s="2">
        <v>431</v>
      </c>
      <c r="R388" s="43">
        <v>45677</v>
      </c>
      <c r="S388" s="2">
        <v>4</v>
      </c>
      <c r="T388" s="2" t="s">
        <v>519</v>
      </c>
      <c r="U388" s="2" t="s">
        <v>113</v>
      </c>
      <c r="V388" s="2" t="s">
        <v>114</v>
      </c>
      <c r="W388" s="2" t="s">
        <v>194</v>
      </c>
      <c r="X388" s="23">
        <v>4</v>
      </c>
      <c r="Y388" s="23">
        <v>1630</v>
      </c>
      <c r="Z388" s="23">
        <v>3808</v>
      </c>
      <c r="AA388" s="24">
        <v>0.42804621848739399</v>
      </c>
      <c r="AB388" s="14" t="str">
        <f>VLOOKUP(flu_aw24[[#This Row],[trust_code]],trust_lookup[],3,0)</f>
        <v>K&amp;R FT</v>
      </c>
      <c r="AD388" s="43">
        <v>45950</v>
      </c>
      <c r="AE388" s="2">
        <v>43</v>
      </c>
      <c r="AF388" s="2" t="s">
        <v>518</v>
      </c>
      <c r="AG388" s="2" t="s">
        <v>157</v>
      </c>
      <c r="AH388" s="2" t="s">
        <v>158</v>
      </c>
      <c r="AI388" s="2" t="s">
        <v>27</v>
      </c>
      <c r="AJ388" s="23">
        <v>838</v>
      </c>
      <c r="AK388" s="23">
        <v>3528</v>
      </c>
      <c r="AL388" s="23">
        <v>18776</v>
      </c>
      <c r="AM388" s="24">
        <v>0.18789944610140599</v>
      </c>
      <c r="AN388" s="44" t="str">
        <f>VLOOKUP(flu_aw25[[#This Row],[trust_code]],trust_lookup[],3,0)</f>
        <v>Royal Free</v>
      </c>
    </row>
    <row r="389" spans="1:40" x14ac:dyDescent="0.35">
      <c r="A389" s="2" t="s">
        <v>519</v>
      </c>
      <c r="B389" s="2" t="s">
        <v>48</v>
      </c>
      <c r="C389" s="2" t="s">
        <v>49</v>
      </c>
      <c r="D389" s="2" t="s">
        <v>192</v>
      </c>
      <c r="E389" s="2" t="s">
        <v>81</v>
      </c>
      <c r="F389" s="2">
        <v>874</v>
      </c>
      <c r="G389" s="2">
        <v>197</v>
      </c>
      <c r="H389" s="14" t="str">
        <f>VLOOKUP(flu_group[[#This Row],[trust_code]],trust_lookup[],3,0)</f>
        <v>CLCH</v>
      </c>
      <c r="I389" s="14" t="str">
        <f>VLOOKUP(flu_group[[#This Row],[trust_code]],trust_lookup[],4,0)</f>
        <v>Community</v>
      </c>
      <c r="K389" s="2" t="s">
        <v>518</v>
      </c>
      <c r="L389" s="2" t="s">
        <v>107</v>
      </c>
      <c r="M389" s="2" t="s">
        <v>108</v>
      </c>
      <c r="N389" s="2" t="s">
        <v>193</v>
      </c>
      <c r="O389" s="2" t="s">
        <v>75</v>
      </c>
      <c r="P389" s="2">
        <v>103</v>
      </c>
      <c r="R389" s="43">
        <v>45684</v>
      </c>
      <c r="S389" s="2">
        <v>5</v>
      </c>
      <c r="T389" s="2" t="s">
        <v>519</v>
      </c>
      <c r="U389" s="2" t="s">
        <v>113</v>
      </c>
      <c r="V389" s="2" t="s">
        <v>114</v>
      </c>
      <c r="W389" s="2" t="s">
        <v>194</v>
      </c>
      <c r="X389" s="23">
        <v>5</v>
      </c>
      <c r="Y389" s="23">
        <v>1635</v>
      </c>
      <c r="Z389" s="23">
        <v>3808</v>
      </c>
      <c r="AA389" s="24">
        <v>0.42935924369747802</v>
      </c>
      <c r="AB389" s="14" t="str">
        <f>VLOOKUP(flu_aw24[[#This Row],[trust_code]],trust_lookup[],3,0)</f>
        <v>K&amp;R FT</v>
      </c>
      <c r="AD389" s="43">
        <v>45957</v>
      </c>
      <c r="AE389" s="2">
        <v>44</v>
      </c>
      <c r="AF389" s="2" t="s">
        <v>518</v>
      </c>
      <c r="AG389" s="2" t="s">
        <v>157</v>
      </c>
      <c r="AH389" s="2" t="s">
        <v>158</v>
      </c>
      <c r="AI389" s="2" t="s">
        <v>27</v>
      </c>
      <c r="AJ389" s="23">
        <v>572</v>
      </c>
      <c r="AK389" s="23">
        <v>4100</v>
      </c>
      <c r="AL389" s="23">
        <v>18776</v>
      </c>
      <c r="AM389" s="24">
        <v>0.21836386876864</v>
      </c>
      <c r="AN389" s="44" t="str">
        <f>VLOOKUP(flu_aw25[[#This Row],[trust_code]],trust_lookup[],3,0)</f>
        <v>Royal Free</v>
      </c>
    </row>
    <row r="390" spans="1:40" x14ac:dyDescent="0.35">
      <c r="A390" s="2" t="s">
        <v>519</v>
      </c>
      <c r="B390" s="2" t="s">
        <v>48</v>
      </c>
      <c r="C390" s="2" t="s">
        <v>49</v>
      </c>
      <c r="D390" s="2" t="s">
        <v>192</v>
      </c>
      <c r="E390" s="2" t="s">
        <v>46</v>
      </c>
      <c r="F390" s="2">
        <v>321</v>
      </c>
      <c r="G390" s="2">
        <v>104</v>
      </c>
      <c r="H390" s="14" t="str">
        <f>VLOOKUP(flu_group[[#This Row],[trust_code]],trust_lookup[],3,0)</f>
        <v>CLCH</v>
      </c>
      <c r="I390" s="14" t="str">
        <f>VLOOKUP(flu_group[[#This Row],[trust_code]],trust_lookup[],4,0)</f>
        <v>Community</v>
      </c>
      <c r="K390" s="2" t="s">
        <v>518</v>
      </c>
      <c r="L390" s="2" t="s">
        <v>107</v>
      </c>
      <c r="M390" s="2" t="s">
        <v>108</v>
      </c>
      <c r="N390" s="2" t="s">
        <v>193</v>
      </c>
      <c r="O390" s="2" t="s">
        <v>106</v>
      </c>
      <c r="P390" s="2">
        <v>79</v>
      </c>
      <c r="R390" s="43">
        <v>45691</v>
      </c>
      <c r="S390" s="2">
        <v>6</v>
      </c>
      <c r="T390" s="2" t="s">
        <v>519</v>
      </c>
      <c r="U390" s="2" t="s">
        <v>113</v>
      </c>
      <c r="V390" s="2" t="s">
        <v>114</v>
      </c>
      <c r="W390" s="2" t="s">
        <v>194</v>
      </c>
      <c r="X390" s="23">
        <v>2</v>
      </c>
      <c r="Y390" s="23">
        <v>1637</v>
      </c>
      <c r="Z390" s="23">
        <v>3808</v>
      </c>
      <c r="AA390" s="24">
        <v>0.42988445378151202</v>
      </c>
      <c r="AB390" s="14" t="str">
        <f>VLOOKUP(flu_aw24[[#This Row],[trust_code]],trust_lookup[],3,0)</f>
        <v>K&amp;R FT</v>
      </c>
      <c r="AD390" s="43">
        <v>45964</v>
      </c>
      <c r="AE390" s="2">
        <v>45</v>
      </c>
      <c r="AF390" s="2" t="s">
        <v>518</v>
      </c>
      <c r="AG390" s="2" t="s">
        <v>157</v>
      </c>
      <c r="AH390" s="2" t="s">
        <v>158</v>
      </c>
      <c r="AI390" s="2" t="s">
        <v>27</v>
      </c>
      <c r="AJ390" s="23">
        <v>647</v>
      </c>
      <c r="AK390" s="23">
        <v>4747</v>
      </c>
      <c r="AL390" s="23">
        <v>18776</v>
      </c>
      <c r="AM390" s="24">
        <v>0.25282275244993602</v>
      </c>
      <c r="AN390" s="44" t="str">
        <f>VLOOKUP(flu_aw25[[#This Row],[trust_code]],trust_lookup[],3,0)</f>
        <v>Royal Free</v>
      </c>
    </row>
    <row r="391" spans="1:40" x14ac:dyDescent="0.35">
      <c r="A391" s="2" t="s">
        <v>519</v>
      </c>
      <c r="B391" s="2" t="s">
        <v>48</v>
      </c>
      <c r="C391" s="2" t="s">
        <v>49</v>
      </c>
      <c r="D391" s="2" t="s">
        <v>192</v>
      </c>
      <c r="E391" s="2" t="s">
        <v>60</v>
      </c>
      <c r="F391" s="2">
        <v>818</v>
      </c>
      <c r="G391" s="2">
        <v>273</v>
      </c>
      <c r="H391" s="14" t="str">
        <f>VLOOKUP(flu_group[[#This Row],[trust_code]],trust_lookup[],3,0)</f>
        <v>CLCH</v>
      </c>
      <c r="I391" s="14" t="str">
        <f>VLOOKUP(flu_group[[#This Row],[trust_code]],trust_lookup[],4,0)</f>
        <v>Community</v>
      </c>
      <c r="K391" s="2" t="s">
        <v>518</v>
      </c>
      <c r="L391" s="2" t="s">
        <v>107</v>
      </c>
      <c r="M391" s="2" t="s">
        <v>108</v>
      </c>
      <c r="N391" s="2" t="s">
        <v>193</v>
      </c>
      <c r="O391" s="2" t="s">
        <v>112</v>
      </c>
      <c r="P391" s="2">
        <v>325</v>
      </c>
      <c r="R391" s="43">
        <v>45705</v>
      </c>
      <c r="S391" s="2">
        <v>8</v>
      </c>
      <c r="T391" s="2" t="s">
        <v>519</v>
      </c>
      <c r="U391" s="2" t="s">
        <v>113</v>
      </c>
      <c r="V391" s="2" t="s">
        <v>114</v>
      </c>
      <c r="W391" s="2" t="s">
        <v>194</v>
      </c>
      <c r="X391" s="23">
        <v>2</v>
      </c>
      <c r="Y391" s="23">
        <v>1639</v>
      </c>
      <c r="Z391" s="23">
        <v>3808</v>
      </c>
      <c r="AA391" s="24">
        <v>0.43040966386554602</v>
      </c>
      <c r="AB391" s="14" t="str">
        <f>VLOOKUP(flu_aw24[[#This Row],[trust_code]],trust_lookup[],3,0)</f>
        <v>K&amp;R FT</v>
      </c>
      <c r="AD391" s="43">
        <v>45971</v>
      </c>
      <c r="AE391" s="2">
        <v>46</v>
      </c>
      <c r="AF391" s="2" t="s">
        <v>518</v>
      </c>
      <c r="AG391" s="2" t="s">
        <v>157</v>
      </c>
      <c r="AH391" s="2" t="s">
        <v>158</v>
      </c>
      <c r="AI391" s="2" t="s">
        <v>27</v>
      </c>
      <c r="AJ391" s="23">
        <v>432</v>
      </c>
      <c r="AK391" s="23">
        <v>5179</v>
      </c>
      <c r="AL391" s="23">
        <v>18776</v>
      </c>
      <c r="AM391" s="24">
        <v>0.27583084789092399</v>
      </c>
      <c r="AN391" s="44" t="str">
        <f>VLOOKUP(flu_aw25[[#This Row],[trust_code]],trust_lookup[],3,0)</f>
        <v>Royal Free</v>
      </c>
    </row>
    <row r="392" spans="1:40" x14ac:dyDescent="0.35">
      <c r="A392" s="2" t="s">
        <v>519</v>
      </c>
      <c r="B392" s="2" t="s">
        <v>48</v>
      </c>
      <c r="C392" s="2" t="s">
        <v>49</v>
      </c>
      <c r="D392" s="2" t="s">
        <v>192</v>
      </c>
      <c r="E392" s="2" t="s">
        <v>42</v>
      </c>
      <c r="F392" s="2">
        <v>139</v>
      </c>
      <c r="G392" s="2">
        <v>68</v>
      </c>
      <c r="H392" s="14" t="str">
        <f>VLOOKUP(flu_group[[#This Row],[trust_code]],trust_lookup[],3,0)</f>
        <v>CLCH</v>
      </c>
      <c r="I392" s="14" t="str">
        <f>VLOOKUP(flu_group[[#This Row],[trust_code]],trust_lookup[],4,0)</f>
        <v>Community</v>
      </c>
      <c r="K392" s="2" t="s">
        <v>518</v>
      </c>
      <c r="L392" s="2" t="s">
        <v>107</v>
      </c>
      <c r="M392" s="2" t="s">
        <v>108</v>
      </c>
      <c r="N392" s="2" t="s">
        <v>193</v>
      </c>
      <c r="O392" s="2" t="s">
        <v>36</v>
      </c>
      <c r="P392" s="2">
        <v>301</v>
      </c>
      <c r="R392" s="43">
        <v>45712</v>
      </c>
      <c r="S392" s="2">
        <v>9</v>
      </c>
      <c r="T392" s="2" t="s">
        <v>519</v>
      </c>
      <c r="U392" s="2" t="s">
        <v>113</v>
      </c>
      <c r="V392" s="2" t="s">
        <v>114</v>
      </c>
      <c r="W392" s="2" t="s">
        <v>194</v>
      </c>
      <c r="X392" s="23">
        <v>2</v>
      </c>
      <c r="Y392" s="23">
        <v>1641</v>
      </c>
      <c r="Z392" s="23">
        <v>3808</v>
      </c>
      <c r="AA392" s="24">
        <v>0.43093487394957902</v>
      </c>
      <c r="AB392" s="14" t="str">
        <f>VLOOKUP(flu_aw24[[#This Row],[trust_code]],trust_lookup[],3,0)</f>
        <v>K&amp;R FT</v>
      </c>
      <c r="AD392" s="43">
        <v>45978</v>
      </c>
      <c r="AE392" s="2">
        <v>47</v>
      </c>
      <c r="AF392" s="2" t="s">
        <v>518</v>
      </c>
      <c r="AG392" s="2" t="s">
        <v>157</v>
      </c>
      <c r="AH392" s="2" t="s">
        <v>158</v>
      </c>
      <c r="AI392" s="2" t="s">
        <v>27</v>
      </c>
      <c r="AJ392" s="23">
        <v>368</v>
      </c>
      <c r="AK392" s="23">
        <v>5547</v>
      </c>
      <c r="AL392" s="23">
        <v>18776</v>
      </c>
      <c r="AM392" s="24">
        <v>0.29543033659991402</v>
      </c>
      <c r="AN392" s="44" t="str">
        <f>VLOOKUP(flu_aw25[[#This Row],[trust_code]],trust_lookup[],3,0)</f>
        <v>Royal Free</v>
      </c>
    </row>
    <row r="393" spans="1:40" x14ac:dyDescent="0.35">
      <c r="A393" s="2" t="s">
        <v>519</v>
      </c>
      <c r="B393" s="2" t="s">
        <v>48</v>
      </c>
      <c r="C393" s="2" t="s">
        <v>49</v>
      </c>
      <c r="D393" s="2" t="s">
        <v>192</v>
      </c>
      <c r="E393" s="2" t="s">
        <v>53</v>
      </c>
      <c r="F393" s="2">
        <v>1833</v>
      </c>
      <c r="G393" s="2">
        <v>535</v>
      </c>
      <c r="H393" s="14" t="str">
        <f>VLOOKUP(flu_group[[#This Row],[trust_code]],trust_lookup[],3,0)</f>
        <v>CLCH</v>
      </c>
      <c r="I393" s="14" t="str">
        <f>VLOOKUP(flu_group[[#This Row],[trust_code]],trust_lookup[],4,0)</f>
        <v>Community</v>
      </c>
      <c r="K393" s="2" t="s">
        <v>518</v>
      </c>
      <c r="L393" s="2" t="s">
        <v>118</v>
      </c>
      <c r="M393" s="2" t="s">
        <v>119</v>
      </c>
      <c r="N393" s="2" t="s">
        <v>193</v>
      </c>
      <c r="O393" s="2" t="s">
        <v>68</v>
      </c>
      <c r="P393" s="2">
        <v>713</v>
      </c>
      <c r="R393" s="43">
        <v>45719</v>
      </c>
      <c r="S393" s="2">
        <v>10</v>
      </c>
      <c r="T393" s="2" t="s">
        <v>519</v>
      </c>
      <c r="U393" s="2" t="s">
        <v>113</v>
      </c>
      <c r="V393" s="2" t="s">
        <v>114</v>
      </c>
      <c r="W393" s="2" t="s">
        <v>194</v>
      </c>
      <c r="X393" s="23">
        <v>3</v>
      </c>
      <c r="Y393" s="23">
        <v>1644</v>
      </c>
      <c r="Z393" s="23">
        <v>3808</v>
      </c>
      <c r="AA393" s="24">
        <v>0.43172268907563</v>
      </c>
      <c r="AB393" s="14" t="str">
        <f>VLOOKUP(flu_aw24[[#This Row],[trust_code]],trust_lookup[],3,0)</f>
        <v>K&amp;R FT</v>
      </c>
      <c r="AD393" s="43">
        <v>45985</v>
      </c>
      <c r="AE393" s="2">
        <v>48</v>
      </c>
      <c r="AF393" s="2" t="s">
        <v>518</v>
      </c>
      <c r="AG393" s="2" t="s">
        <v>157</v>
      </c>
      <c r="AH393" s="2" t="s">
        <v>158</v>
      </c>
      <c r="AI393" s="2" t="s">
        <v>27</v>
      </c>
      <c r="AJ393" s="23">
        <v>319</v>
      </c>
      <c r="AK393" s="23">
        <v>5866</v>
      </c>
      <c r="AL393" s="23">
        <v>18776</v>
      </c>
      <c r="AM393" s="24">
        <v>0.31242011077971799</v>
      </c>
      <c r="AN393" s="44" t="str">
        <f>VLOOKUP(flu_aw25[[#This Row],[trust_code]],trust_lookup[],3,0)</f>
        <v>Royal Free</v>
      </c>
    </row>
    <row r="394" spans="1:40" x14ac:dyDescent="0.35">
      <c r="A394" s="2" t="s">
        <v>519</v>
      </c>
      <c r="B394" s="2" t="s">
        <v>48</v>
      </c>
      <c r="C394" s="2" t="s">
        <v>49</v>
      </c>
      <c r="D394" s="2" t="s">
        <v>192</v>
      </c>
      <c r="E394" s="2" t="s">
        <v>35</v>
      </c>
      <c r="F394" s="2">
        <v>41</v>
      </c>
      <c r="G394" s="2">
        <v>9</v>
      </c>
      <c r="H394" s="14" t="str">
        <f>VLOOKUP(flu_group[[#This Row],[trust_code]],trust_lookup[],3,0)</f>
        <v>CLCH</v>
      </c>
      <c r="I394" s="14" t="str">
        <f>VLOOKUP(flu_group[[#This Row],[trust_code]],trust_lookup[],4,0)</f>
        <v>Community</v>
      </c>
      <c r="K394" s="2" t="s">
        <v>518</v>
      </c>
      <c r="L394" s="2" t="s">
        <v>118</v>
      </c>
      <c r="M394" s="2" t="s">
        <v>119</v>
      </c>
      <c r="N394" s="2" t="s">
        <v>193</v>
      </c>
      <c r="O394" s="2" t="s">
        <v>135</v>
      </c>
      <c r="P394" s="2">
        <v>34</v>
      </c>
      <c r="R394" s="43">
        <v>45747</v>
      </c>
      <c r="S394" s="2">
        <v>14</v>
      </c>
      <c r="T394" s="2" t="s">
        <v>519</v>
      </c>
      <c r="U394" s="2" t="s">
        <v>113</v>
      </c>
      <c r="V394" s="2" t="s">
        <v>114</v>
      </c>
      <c r="W394" s="2" t="s">
        <v>194</v>
      </c>
      <c r="X394" s="23">
        <v>1</v>
      </c>
      <c r="Y394" s="23">
        <v>1645</v>
      </c>
      <c r="Z394" s="23">
        <v>3808</v>
      </c>
      <c r="AA394" s="24">
        <v>0.43198529411764702</v>
      </c>
      <c r="AB394" s="14" t="str">
        <f>VLOOKUP(flu_aw24[[#This Row],[trust_code]],trust_lookup[],3,0)</f>
        <v>K&amp;R FT</v>
      </c>
      <c r="AD394" s="43">
        <v>45992</v>
      </c>
      <c r="AE394" s="2">
        <v>49</v>
      </c>
      <c r="AF394" s="2" t="s">
        <v>518</v>
      </c>
      <c r="AG394" s="2" t="s">
        <v>157</v>
      </c>
      <c r="AH394" s="2" t="s">
        <v>158</v>
      </c>
      <c r="AI394" s="2" t="s">
        <v>27</v>
      </c>
      <c r="AJ394" s="23">
        <v>317</v>
      </c>
      <c r="AK394" s="23">
        <v>6183</v>
      </c>
      <c r="AL394" s="23">
        <v>18776</v>
      </c>
      <c r="AM394" s="24">
        <v>0.329303365999147</v>
      </c>
      <c r="AN394" s="44" t="str">
        <f>VLOOKUP(flu_aw25[[#This Row],[trust_code]],trust_lookup[],3,0)</f>
        <v>Royal Free</v>
      </c>
    </row>
    <row r="395" spans="1:40" x14ac:dyDescent="0.35">
      <c r="A395" s="2" t="s">
        <v>519</v>
      </c>
      <c r="B395" s="2" t="s">
        <v>55</v>
      </c>
      <c r="C395" s="2" t="s">
        <v>56</v>
      </c>
      <c r="D395" s="2" t="s">
        <v>192</v>
      </c>
      <c r="E395" s="2" t="s">
        <v>67</v>
      </c>
      <c r="F395" s="2">
        <v>201</v>
      </c>
      <c r="G395" s="2">
        <v>71</v>
      </c>
      <c r="H395" s="14" t="str">
        <f>VLOOKUP(flu_group[[#This Row],[trust_code]],trust_lookup[],3,0)</f>
        <v>ChelWest</v>
      </c>
      <c r="I395" s="14" t="str">
        <f>VLOOKUP(flu_group[[#This Row],[trust_code]],trust_lookup[],4,0)</f>
        <v>Acute</v>
      </c>
      <c r="K395" s="2" t="s">
        <v>518</v>
      </c>
      <c r="L395" s="2" t="s">
        <v>118</v>
      </c>
      <c r="M395" s="2" t="s">
        <v>119</v>
      </c>
      <c r="N395" s="2" t="s">
        <v>193</v>
      </c>
      <c r="O395" s="2" t="s">
        <v>54</v>
      </c>
      <c r="P395" s="2">
        <v>198</v>
      </c>
      <c r="R395" s="43">
        <v>45544</v>
      </c>
      <c r="S395" s="2">
        <v>37</v>
      </c>
      <c r="T395" s="2" t="s">
        <v>519</v>
      </c>
      <c r="U395" s="2" t="s">
        <v>118</v>
      </c>
      <c r="V395" s="2" t="s">
        <v>119</v>
      </c>
      <c r="W395" s="2" t="s">
        <v>193</v>
      </c>
      <c r="X395" s="23">
        <v>3</v>
      </c>
      <c r="Y395" s="23">
        <v>3</v>
      </c>
      <c r="Z395" s="23">
        <v>6569</v>
      </c>
      <c r="AA395" s="24">
        <v>4.5669051606028299E-4</v>
      </c>
      <c r="AB395" s="14" t="str">
        <f>VLOOKUP(flu_aw24[[#This Row],[trust_code]],trust_lookup[],3,0)</f>
        <v>L&amp;G</v>
      </c>
      <c r="AD395" s="43">
        <v>45999</v>
      </c>
      <c r="AE395" s="2">
        <v>50</v>
      </c>
      <c r="AF395" s="2" t="s">
        <v>518</v>
      </c>
      <c r="AG395" s="2" t="s">
        <v>157</v>
      </c>
      <c r="AH395" s="2" t="s">
        <v>158</v>
      </c>
      <c r="AI395" s="2" t="s">
        <v>27</v>
      </c>
      <c r="AJ395" s="23">
        <v>296</v>
      </c>
      <c r="AK395" s="23">
        <v>6479</v>
      </c>
      <c r="AL395" s="23">
        <v>18776</v>
      </c>
      <c r="AM395" s="24">
        <v>0.34506817213463897</v>
      </c>
      <c r="AN395" s="44" t="str">
        <f>VLOOKUP(flu_aw25[[#This Row],[trust_code]],trust_lookup[],3,0)</f>
        <v>Royal Free</v>
      </c>
    </row>
    <row r="396" spans="1:40" x14ac:dyDescent="0.35">
      <c r="A396" s="2" t="s">
        <v>519</v>
      </c>
      <c r="B396" s="2" t="s">
        <v>55</v>
      </c>
      <c r="C396" s="2" t="s">
        <v>56</v>
      </c>
      <c r="D396" s="2" t="s">
        <v>192</v>
      </c>
      <c r="E396" s="2" t="s">
        <v>81</v>
      </c>
      <c r="F396" s="2">
        <v>831</v>
      </c>
      <c r="G396" s="2">
        <v>207</v>
      </c>
      <c r="H396" s="14" t="str">
        <f>VLOOKUP(flu_group[[#This Row],[trust_code]],trust_lookup[],3,0)</f>
        <v>ChelWest</v>
      </c>
      <c r="I396" s="14" t="str">
        <f>VLOOKUP(flu_group[[#This Row],[trust_code]],trust_lookup[],4,0)</f>
        <v>Acute</v>
      </c>
      <c r="K396" s="2" t="s">
        <v>518</v>
      </c>
      <c r="L396" s="2" t="s">
        <v>118</v>
      </c>
      <c r="M396" s="2" t="s">
        <v>119</v>
      </c>
      <c r="N396" s="2" t="s">
        <v>193</v>
      </c>
      <c r="O396" s="2" t="s">
        <v>129</v>
      </c>
      <c r="P396" s="2">
        <v>14</v>
      </c>
      <c r="R396" s="43">
        <v>45551</v>
      </c>
      <c r="S396" s="2">
        <v>38</v>
      </c>
      <c r="T396" s="2" t="s">
        <v>519</v>
      </c>
      <c r="U396" s="2" t="s">
        <v>118</v>
      </c>
      <c r="V396" s="2" t="s">
        <v>119</v>
      </c>
      <c r="W396" s="2" t="s">
        <v>193</v>
      </c>
      <c r="X396" s="23">
        <v>9</v>
      </c>
      <c r="Y396" s="23">
        <v>12</v>
      </c>
      <c r="Z396" s="23">
        <v>6569</v>
      </c>
      <c r="AA396" s="24">
        <v>1.82676206424113E-3</v>
      </c>
      <c r="AB396" s="14" t="str">
        <f>VLOOKUP(flu_aw24[[#This Row],[trust_code]],trust_lookup[],3,0)</f>
        <v>L&amp;G</v>
      </c>
      <c r="AD396" s="43">
        <v>46006</v>
      </c>
      <c r="AE396" s="2">
        <v>51</v>
      </c>
      <c r="AF396" s="2" t="s">
        <v>518</v>
      </c>
      <c r="AG396" s="2" t="s">
        <v>157</v>
      </c>
      <c r="AH396" s="2" t="s">
        <v>158</v>
      </c>
      <c r="AI396" s="2" t="s">
        <v>27</v>
      </c>
      <c r="AJ396" s="23">
        <v>241</v>
      </c>
      <c r="AK396" s="23">
        <v>6720</v>
      </c>
      <c r="AL396" s="23">
        <v>18776</v>
      </c>
      <c r="AM396" s="24">
        <v>0.35790370685982098</v>
      </c>
      <c r="AN396" s="44" t="str">
        <f>VLOOKUP(flu_aw25[[#This Row],[trust_code]],trust_lookup[],3,0)</f>
        <v>Royal Free</v>
      </c>
    </row>
    <row r="397" spans="1:40" x14ac:dyDescent="0.35">
      <c r="A397" s="2" t="s">
        <v>519</v>
      </c>
      <c r="B397" s="2" t="s">
        <v>55</v>
      </c>
      <c r="C397" s="2" t="s">
        <v>56</v>
      </c>
      <c r="D397" s="2" t="s">
        <v>192</v>
      </c>
      <c r="E397" s="2" t="s">
        <v>46</v>
      </c>
      <c r="F397" s="2">
        <v>308</v>
      </c>
      <c r="G397" s="2">
        <v>92</v>
      </c>
      <c r="H397" s="14" t="str">
        <f>VLOOKUP(flu_group[[#This Row],[trust_code]],trust_lookup[],3,0)</f>
        <v>ChelWest</v>
      </c>
      <c r="I397" s="14" t="str">
        <f>VLOOKUP(flu_group[[#This Row],[trust_code]],trust_lookup[],4,0)</f>
        <v>Acute</v>
      </c>
      <c r="K397" s="2" t="s">
        <v>518</v>
      </c>
      <c r="L397" s="2" t="s">
        <v>118</v>
      </c>
      <c r="M397" s="2" t="s">
        <v>119</v>
      </c>
      <c r="N397" s="2" t="s">
        <v>193</v>
      </c>
      <c r="O397" s="2" t="s">
        <v>47</v>
      </c>
      <c r="P397" s="2">
        <v>36</v>
      </c>
      <c r="R397" s="43">
        <v>45558</v>
      </c>
      <c r="S397" s="2">
        <v>39</v>
      </c>
      <c r="T397" s="2" t="s">
        <v>519</v>
      </c>
      <c r="U397" s="2" t="s">
        <v>118</v>
      </c>
      <c r="V397" s="2" t="s">
        <v>119</v>
      </c>
      <c r="W397" s="2" t="s">
        <v>193</v>
      </c>
      <c r="X397" s="23">
        <v>9</v>
      </c>
      <c r="Y397" s="23">
        <v>21</v>
      </c>
      <c r="Z397" s="23">
        <v>6569</v>
      </c>
      <c r="AA397" s="24">
        <v>3.1968336124219799E-3</v>
      </c>
      <c r="AB397" s="14" t="str">
        <f>VLOOKUP(flu_aw24[[#This Row],[trust_code]],trust_lookup[],3,0)</f>
        <v>L&amp;G</v>
      </c>
      <c r="AD397" s="43">
        <v>46013</v>
      </c>
      <c r="AE397" s="2">
        <v>52</v>
      </c>
      <c r="AF397" s="2" t="s">
        <v>518</v>
      </c>
      <c r="AG397" s="2" t="s">
        <v>157</v>
      </c>
      <c r="AH397" s="2" t="s">
        <v>158</v>
      </c>
      <c r="AI397" s="2" t="s">
        <v>27</v>
      </c>
      <c r="AJ397" s="23">
        <v>50</v>
      </c>
      <c r="AK397" s="23">
        <v>6770</v>
      </c>
      <c r="AL397" s="23">
        <v>18776</v>
      </c>
      <c r="AM397" s="24">
        <v>0.36056668086919402</v>
      </c>
      <c r="AN397" s="44" t="str">
        <f>VLOOKUP(flu_aw25[[#This Row],[trust_code]],trust_lookup[],3,0)</f>
        <v>Royal Free</v>
      </c>
    </row>
    <row r="398" spans="1:40" x14ac:dyDescent="0.35">
      <c r="A398" s="2" t="s">
        <v>519</v>
      </c>
      <c r="B398" s="2" t="s">
        <v>55</v>
      </c>
      <c r="C398" s="2" t="s">
        <v>56</v>
      </c>
      <c r="D398" s="2" t="s">
        <v>192</v>
      </c>
      <c r="E398" s="2" t="s">
        <v>60</v>
      </c>
      <c r="F398" s="2">
        <v>316</v>
      </c>
      <c r="G398" s="2">
        <v>113</v>
      </c>
      <c r="H398" s="14" t="str">
        <f>VLOOKUP(flu_group[[#This Row],[trust_code]],trust_lookup[],3,0)</f>
        <v>ChelWest</v>
      </c>
      <c r="I398" s="14" t="str">
        <f>VLOOKUP(flu_group[[#This Row],[trust_code]],trust_lookup[],4,0)</f>
        <v>Acute</v>
      </c>
      <c r="K398" s="2" t="s">
        <v>518</v>
      </c>
      <c r="L398" s="2" t="s">
        <v>118</v>
      </c>
      <c r="M398" s="2" t="s">
        <v>119</v>
      </c>
      <c r="N398" s="2" t="s">
        <v>193</v>
      </c>
      <c r="O398" s="2" t="s">
        <v>94</v>
      </c>
      <c r="P398" s="2">
        <v>14</v>
      </c>
      <c r="R398" s="43">
        <v>45565</v>
      </c>
      <c r="S398" s="2">
        <v>40</v>
      </c>
      <c r="T398" s="2" t="s">
        <v>519</v>
      </c>
      <c r="U398" s="2" t="s">
        <v>118</v>
      </c>
      <c r="V398" s="2" t="s">
        <v>119</v>
      </c>
      <c r="W398" s="2" t="s">
        <v>193</v>
      </c>
      <c r="X398" s="23">
        <v>96</v>
      </c>
      <c r="Y398" s="23">
        <v>117</v>
      </c>
      <c r="Z398" s="23">
        <v>6569</v>
      </c>
      <c r="AA398" s="24">
        <v>1.7810930126351002E-2</v>
      </c>
      <c r="AB398" s="14" t="str">
        <f>VLOOKUP(flu_aw24[[#This Row],[trust_code]],trust_lookup[],3,0)</f>
        <v>L&amp;G</v>
      </c>
      <c r="AD398" s="43">
        <v>46020</v>
      </c>
      <c r="AE398" s="2">
        <v>1</v>
      </c>
      <c r="AF398" s="2" t="s">
        <v>518</v>
      </c>
      <c r="AG398" s="2" t="s">
        <v>157</v>
      </c>
      <c r="AH398" s="2" t="s">
        <v>158</v>
      </c>
      <c r="AI398" s="2" t="s">
        <v>27</v>
      </c>
      <c r="AJ398" s="23">
        <v>52</v>
      </c>
      <c r="AK398" s="23">
        <v>6822</v>
      </c>
      <c r="AL398" s="23">
        <v>18776</v>
      </c>
      <c r="AM398" s="24">
        <v>0.36333617383894301</v>
      </c>
      <c r="AN398" s="44" t="str">
        <f>VLOOKUP(flu_aw25[[#This Row],[trust_code]],trust_lookup[],3,0)</f>
        <v>Royal Free</v>
      </c>
    </row>
    <row r="399" spans="1:40" x14ac:dyDescent="0.35">
      <c r="A399" s="2" t="s">
        <v>519</v>
      </c>
      <c r="B399" s="2" t="s">
        <v>55</v>
      </c>
      <c r="C399" s="2" t="s">
        <v>56</v>
      </c>
      <c r="D399" s="2" t="s">
        <v>192</v>
      </c>
      <c r="E399" s="2" t="s">
        <v>28</v>
      </c>
      <c r="F399" s="2">
        <v>1</v>
      </c>
      <c r="G399" s="2">
        <v>1</v>
      </c>
      <c r="H399" s="14" t="str">
        <f>VLOOKUP(flu_group[[#This Row],[trust_code]],trust_lookup[],3,0)</f>
        <v>ChelWest</v>
      </c>
      <c r="I399" s="14" t="str">
        <f>VLOOKUP(flu_group[[#This Row],[trust_code]],trust_lookup[],4,0)</f>
        <v>Acute</v>
      </c>
      <c r="K399" s="2" t="s">
        <v>518</v>
      </c>
      <c r="L399" s="2" t="s">
        <v>118</v>
      </c>
      <c r="M399" s="2" t="s">
        <v>119</v>
      </c>
      <c r="N399" s="2" t="s">
        <v>193</v>
      </c>
      <c r="O399" s="2" t="s">
        <v>29</v>
      </c>
      <c r="P399" s="2">
        <v>28</v>
      </c>
      <c r="R399" s="43">
        <v>45572</v>
      </c>
      <c r="S399" s="2">
        <v>41</v>
      </c>
      <c r="T399" s="2" t="s">
        <v>519</v>
      </c>
      <c r="U399" s="2" t="s">
        <v>118</v>
      </c>
      <c r="V399" s="2" t="s">
        <v>119</v>
      </c>
      <c r="W399" s="2" t="s">
        <v>193</v>
      </c>
      <c r="X399" s="23">
        <v>309</v>
      </c>
      <c r="Y399" s="23">
        <v>426</v>
      </c>
      <c r="Z399" s="23">
        <v>6569</v>
      </c>
      <c r="AA399" s="24">
        <v>6.4850053280560205E-2</v>
      </c>
      <c r="AB399" s="14" t="str">
        <f>VLOOKUP(flu_aw24[[#This Row],[trust_code]],trust_lookup[],3,0)</f>
        <v>L&amp;G</v>
      </c>
      <c r="AD399" s="43">
        <v>46027</v>
      </c>
      <c r="AE399" s="2">
        <v>2</v>
      </c>
      <c r="AF399" s="2" t="s">
        <v>518</v>
      </c>
      <c r="AG399" s="2" t="s">
        <v>157</v>
      </c>
      <c r="AH399" s="2" t="s">
        <v>158</v>
      </c>
      <c r="AI399" s="2" t="s">
        <v>27</v>
      </c>
      <c r="AJ399" s="23">
        <v>63</v>
      </c>
      <c r="AK399" s="23">
        <v>6885</v>
      </c>
      <c r="AL399" s="23">
        <v>18776</v>
      </c>
      <c r="AM399" s="24">
        <v>0.36669152109075398</v>
      </c>
      <c r="AN399" s="44" t="str">
        <f>VLOOKUP(flu_aw25[[#This Row],[trust_code]],trust_lookup[],3,0)</f>
        <v>Royal Free</v>
      </c>
    </row>
    <row r="400" spans="1:40" x14ac:dyDescent="0.35">
      <c r="A400" s="2" t="s">
        <v>519</v>
      </c>
      <c r="B400" s="2" t="s">
        <v>55</v>
      </c>
      <c r="C400" s="2" t="s">
        <v>56</v>
      </c>
      <c r="D400" s="2" t="s">
        <v>192</v>
      </c>
      <c r="E400" s="2" t="s">
        <v>74</v>
      </c>
      <c r="F400" s="2">
        <v>22</v>
      </c>
      <c r="G400" s="2">
        <v>4</v>
      </c>
      <c r="H400" s="14" t="str">
        <f>VLOOKUP(flu_group[[#This Row],[trust_code]],trust_lookup[],3,0)</f>
        <v>ChelWest</v>
      </c>
      <c r="I400" s="14" t="str">
        <f>VLOOKUP(flu_group[[#This Row],[trust_code]],trust_lookup[],4,0)</f>
        <v>Acute</v>
      </c>
      <c r="K400" s="2" t="s">
        <v>518</v>
      </c>
      <c r="L400" s="2" t="s">
        <v>118</v>
      </c>
      <c r="M400" s="2" t="s">
        <v>119</v>
      </c>
      <c r="N400" s="2" t="s">
        <v>193</v>
      </c>
      <c r="O400" s="2" t="s">
        <v>123</v>
      </c>
      <c r="P400" s="2">
        <v>181</v>
      </c>
      <c r="R400" s="43">
        <v>45579</v>
      </c>
      <c r="S400" s="2">
        <v>42</v>
      </c>
      <c r="T400" s="2" t="s">
        <v>519</v>
      </c>
      <c r="U400" s="2" t="s">
        <v>118</v>
      </c>
      <c r="V400" s="2" t="s">
        <v>119</v>
      </c>
      <c r="W400" s="2" t="s">
        <v>193</v>
      </c>
      <c r="X400" s="23">
        <v>283</v>
      </c>
      <c r="Y400" s="23">
        <v>709</v>
      </c>
      <c r="Z400" s="23">
        <v>6569</v>
      </c>
      <c r="AA400" s="24">
        <v>0.107931191962246</v>
      </c>
      <c r="AB400" s="14" t="str">
        <f>VLOOKUP(flu_aw24[[#This Row],[trust_code]],trust_lookup[],3,0)</f>
        <v>L&amp;G</v>
      </c>
      <c r="AD400" s="43">
        <v>46034</v>
      </c>
      <c r="AE400" s="2">
        <v>3</v>
      </c>
      <c r="AF400" s="2" t="s">
        <v>518</v>
      </c>
      <c r="AG400" s="2" t="s">
        <v>157</v>
      </c>
      <c r="AH400" s="2" t="s">
        <v>158</v>
      </c>
      <c r="AI400" s="2" t="s">
        <v>27</v>
      </c>
      <c r="AJ400" s="23">
        <v>34</v>
      </c>
      <c r="AK400" s="23">
        <v>6919</v>
      </c>
      <c r="AL400" s="23">
        <v>18776</v>
      </c>
      <c r="AM400" s="24">
        <v>0.36850234341712801</v>
      </c>
      <c r="AN400" s="44" t="str">
        <f>VLOOKUP(flu_aw25[[#This Row],[trust_code]],trust_lookup[],3,0)</f>
        <v>Royal Free</v>
      </c>
    </row>
    <row r="401" spans="1:40" x14ac:dyDescent="0.35">
      <c r="A401" s="2" t="s">
        <v>519</v>
      </c>
      <c r="B401" s="2" t="s">
        <v>55</v>
      </c>
      <c r="C401" s="2" t="s">
        <v>56</v>
      </c>
      <c r="D401" s="2" t="s">
        <v>192</v>
      </c>
      <c r="E401" s="2" t="s">
        <v>42</v>
      </c>
      <c r="F401" s="2">
        <v>1377</v>
      </c>
      <c r="G401" s="2">
        <v>594</v>
      </c>
      <c r="H401" s="14" t="str">
        <f>VLOOKUP(flu_group[[#This Row],[trust_code]],trust_lookup[],3,0)</f>
        <v>ChelWest</v>
      </c>
      <c r="I401" s="14" t="str">
        <f>VLOOKUP(flu_group[[#This Row],[trust_code]],trust_lookup[],4,0)</f>
        <v>Acute</v>
      </c>
      <c r="K401" s="2" t="s">
        <v>518</v>
      </c>
      <c r="L401" s="2" t="s">
        <v>118</v>
      </c>
      <c r="M401" s="2" t="s">
        <v>119</v>
      </c>
      <c r="N401" s="2" t="s">
        <v>193</v>
      </c>
      <c r="O401" s="2" t="s">
        <v>82</v>
      </c>
      <c r="P401" s="2">
        <v>26</v>
      </c>
      <c r="R401" s="43">
        <v>45586</v>
      </c>
      <c r="S401" s="2">
        <v>43</v>
      </c>
      <c r="T401" s="2" t="s">
        <v>519</v>
      </c>
      <c r="U401" s="2" t="s">
        <v>118</v>
      </c>
      <c r="V401" s="2" t="s">
        <v>119</v>
      </c>
      <c r="W401" s="2" t="s">
        <v>193</v>
      </c>
      <c r="X401" s="23">
        <v>199</v>
      </c>
      <c r="Y401" s="23">
        <v>908</v>
      </c>
      <c r="Z401" s="23">
        <v>6569</v>
      </c>
      <c r="AA401" s="24">
        <v>0.138224996194245</v>
      </c>
      <c r="AB401" s="14" t="str">
        <f>VLOOKUP(flu_aw24[[#This Row],[trust_code]],trust_lookup[],3,0)</f>
        <v>L&amp;G</v>
      </c>
      <c r="AD401" s="43">
        <v>46041</v>
      </c>
      <c r="AE401" s="2">
        <v>4</v>
      </c>
      <c r="AF401" s="2" t="s">
        <v>518</v>
      </c>
      <c r="AG401" s="2" t="s">
        <v>157</v>
      </c>
      <c r="AH401" s="2" t="s">
        <v>158</v>
      </c>
      <c r="AI401" s="2" t="s">
        <v>27</v>
      </c>
      <c r="AJ401" s="23">
        <v>21</v>
      </c>
      <c r="AK401" s="23">
        <v>6940</v>
      </c>
      <c r="AL401" s="23">
        <v>18776</v>
      </c>
      <c r="AM401" s="24">
        <v>0.369620792501065</v>
      </c>
      <c r="AN401" s="44" t="str">
        <f>VLOOKUP(flu_aw25[[#This Row],[trust_code]],trust_lookup[],3,0)</f>
        <v>Royal Free</v>
      </c>
    </row>
    <row r="402" spans="1:40" x14ac:dyDescent="0.35">
      <c r="A402" s="2" t="s">
        <v>519</v>
      </c>
      <c r="B402" s="2" t="s">
        <v>55</v>
      </c>
      <c r="C402" s="2" t="s">
        <v>56</v>
      </c>
      <c r="D402" s="2" t="s">
        <v>192</v>
      </c>
      <c r="E402" s="2" t="s">
        <v>53</v>
      </c>
      <c r="F402" s="2">
        <v>1838</v>
      </c>
      <c r="G402" s="2">
        <v>686</v>
      </c>
      <c r="H402" s="14" t="str">
        <f>VLOOKUP(flu_group[[#This Row],[trust_code]],trust_lookup[],3,0)</f>
        <v>ChelWest</v>
      </c>
      <c r="I402" s="14" t="str">
        <f>VLOOKUP(flu_group[[#This Row],[trust_code]],trust_lookup[],4,0)</f>
        <v>Acute</v>
      </c>
      <c r="K402" s="2" t="s">
        <v>518</v>
      </c>
      <c r="L402" s="2" t="s">
        <v>118</v>
      </c>
      <c r="M402" s="2" t="s">
        <v>119</v>
      </c>
      <c r="N402" s="2" t="s">
        <v>193</v>
      </c>
      <c r="O402" s="2" t="s">
        <v>88</v>
      </c>
      <c r="P402" s="2">
        <v>20</v>
      </c>
      <c r="R402" s="43">
        <v>45593</v>
      </c>
      <c r="S402" s="2">
        <v>44</v>
      </c>
      <c r="T402" s="2" t="s">
        <v>519</v>
      </c>
      <c r="U402" s="2" t="s">
        <v>118</v>
      </c>
      <c r="V402" s="2" t="s">
        <v>119</v>
      </c>
      <c r="W402" s="2" t="s">
        <v>193</v>
      </c>
      <c r="X402" s="23">
        <v>179</v>
      </c>
      <c r="Y402" s="23">
        <v>1087</v>
      </c>
      <c r="Z402" s="23">
        <v>6569</v>
      </c>
      <c r="AA402" s="24">
        <v>0.16547419698584201</v>
      </c>
      <c r="AB402" s="14" t="str">
        <f>VLOOKUP(flu_aw24[[#This Row],[trust_code]],trust_lookup[],3,0)</f>
        <v>L&amp;G</v>
      </c>
      <c r="AD402" s="43">
        <v>46048</v>
      </c>
      <c r="AE402" s="2">
        <v>5</v>
      </c>
      <c r="AF402" s="2" t="s">
        <v>518</v>
      </c>
      <c r="AG402" s="2" t="s">
        <v>157</v>
      </c>
      <c r="AH402" s="2" t="s">
        <v>158</v>
      </c>
      <c r="AI402" s="2" t="s">
        <v>27</v>
      </c>
      <c r="AJ402" s="23">
        <v>6</v>
      </c>
      <c r="AK402" s="23">
        <v>6946</v>
      </c>
      <c r="AL402" s="23">
        <v>18776</v>
      </c>
      <c r="AM402" s="24">
        <v>0.36994034938219</v>
      </c>
      <c r="AN402" s="44" t="str">
        <f>VLOOKUP(flu_aw25[[#This Row],[trust_code]],trust_lookup[],3,0)</f>
        <v>Royal Free</v>
      </c>
    </row>
    <row r="403" spans="1:40" x14ac:dyDescent="0.35">
      <c r="A403" s="2" t="s">
        <v>519</v>
      </c>
      <c r="B403" s="2" t="s">
        <v>55</v>
      </c>
      <c r="C403" s="2" t="s">
        <v>56</v>
      </c>
      <c r="D403" s="2" t="s">
        <v>192</v>
      </c>
      <c r="E403" s="2" t="s">
        <v>35</v>
      </c>
      <c r="F403" s="2">
        <v>5</v>
      </c>
      <c r="G403" s="2">
        <v>1</v>
      </c>
      <c r="H403" s="14" t="str">
        <f>VLOOKUP(flu_group[[#This Row],[trust_code]],trust_lookup[],3,0)</f>
        <v>ChelWest</v>
      </c>
      <c r="I403" s="14" t="str">
        <f>VLOOKUP(flu_group[[#This Row],[trust_code]],trust_lookup[],4,0)</f>
        <v>Acute</v>
      </c>
      <c r="K403" s="2" t="s">
        <v>518</v>
      </c>
      <c r="L403" s="2" t="s">
        <v>118</v>
      </c>
      <c r="M403" s="2" t="s">
        <v>119</v>
      </c>
      <c r="N403" s="2" t="s">
        <v>193</v>
      </c>
      <c r="O403" s="2" t="s">
        <v>141</v>
      </c>
      <c r="P403" s="2">
        <v>248</v>
      </c>
      <c r="R403" s="43">
        <v>45600</v>
      </c>
      <c r="S403" s="2">
        <v>45</v>
      </c>
      <c r="T403" s="2" t="s">
        <v>519</v>
      </c>
      <c r="U403" s="2" t="s">
        <v>118</v>
      </c>
      <c r="V403" s="2" t="s">
        <v>119</v>
      </c>
      <c r="W403" s="2" t="s">
        <v>193</v>
      </c>
      <c r="X403" s="23">
        <v>127</v>
      </c>
      <c r="Y403" s="23">
        <v>1214</v>
      </c>
      <c r="Z403" s="23">
        <v>6569</v>
      </c>
      <c r="AA403" s="24">
        <v>0.18480742883239401</v>
      </c>
      <c r="AB403" s="14" t="str">
        <f>VLOOKUP(flu_aw24[[#This Row],[trust_code]],trust_lookup[],3,0)</f>
        <v>L&amp;G</v>
      </c>
      <c r="AD403" s="43">
        <v>46055</v>
      </c>
      <c r="AE403" s="2">
        <v>6</v>
      </c>
      <c r="AF403" s="2" t="s">
        <v>518</v>
      </c>
      <c r="AG403" s="2" t="s">
        <v>157</v>
      </c>
      <c r="AH403" s="2" t="s">
        <v>158</v>
      </c>
      <c r="AI403" s="2" t="s">
        <v>27</v>
      </c>
      <c r="AJ403" s="23">
        <v>14</v>
      </c>
      <c r="AK403" s="23">
        <v>6960</v>
      </c>
      <c r="AL403" s="23">
        <v>18776</v>
      </c>
      <c r="AM403" s="24">
        <v>0.37068598210481402</v>
      </c>
      <c r="AN403" s="44" t="str">
        <f>VLOOKUP(flu_aw25[[#This Row],[trust_code]],trust_lookup[],3,0)</f>
        <v>Royal Free</v>
      </c>
    </row>
    <row r="404" spans="1:40" x14ac:dyDescent="0.35">
      <c r="A404" s="2" t="s">
        <v>519</v>
      </c>
      <c r="B404" s="2" t="s">
        <v>101</v>
      </c>
      <c r="C404" s="2" t="s">
        <v>102</v>
      </c>
      <c r="D404" s="2" t="s">
        <v>192</v>
      </c>
      <c r="E404" s="2" t="s">
        <v>67</v>
      </c>
      <c r="F404" s="2">
        <v>229</v>
      </c>
      <c r="G404" s="2">
        <v>73</v>
      </c>
      <c r="H404" s="14" t="str">
        <f>VLOOKUP(flu_group[[#This Row],[trust_code]],trust_lookup[],3,0)</f>
        <v>Imperial</v>
      </c>
      <c r="I404" s="14" t="str">
        <f>VLOOKUP(flu_group[[#This Row],[trust_code]],trust_lookup[],4,0)</f>
        <v>Acute</v>
      </c>
      <c r="K404" s="2" t="s">
        <v>518</v>
      </c>
      <c r="L404" s="2" t="s">
        <v>118</v>
      </c>
      <c r="M404" s="2" t="s">
        <v>119</v>
      </c>
      <c r="N404" s="2" t="s">
        <v>193</v>
      </c>
      <c r="O404" s="2" t="s">
        <v>61</v>
      </c>
      <c r="P404" s="2">
        <v>56</v>
      </c>
      <c r="R404" s="43">
        <v>45607</v>
      </c>
      <c r="S404" s="2">
        <v>46</v>
      </c>
      <c r="T404" s="2" t="s">
        <v>519</v>
      </c>
      <c r="U404" s="2" t="s">
        <v>118</v>
      </c>
      <c r="V404" s="2" t="s">
        <v>119</v>
      </c>
      <c r="W404" s="2" t="s">
        <v>193</v>
      </c>
      <c r="X404" s="23">
        <v>108</v>
      </c>
      <c r="Y404" s="23">
        <v>1322</v>
      </c>
      <c r="Z404" s="23">
        <v>6569</v>
      </c>
      <c r="AA404" s="24">
        <v>0.201248287410564</v>
      </c>
      <c r="AB404" s="14" t="str">
        <f>VLOOKUP(flu_aw24[[#This Row],[trust_code]],trust_lookup[],3,0)</f>
        <v>L&amp;G</v>
      </c>
      <c r="AD404" s="43">
        <v>46062</v>
      </c>
      <c r="AE404" s="2">
        <v>7</v>
      </c>
      <c r="AF404" s="2" t="s">
        <v>518</v>
      </c>
      <c r="AG404" s="2" t="s">
        <v>157</v>
      </c>
      <c r="AH404" s="2" t="s">
        <v>158</v>
      </c>
      <c r="AI404" s="2" t="s">
        <v>27</v>
      </c>
      <c r="AJ404" s="23">
        <v>6</v>
      </c>
      <c r="AK404" s="23">
        <v>6966</v>
      </c>
      <c r="AL404" s="23">
        <v>18776</v>
      </c>
      <c r="AM404" s="24">
        <v>0.37100553898593902</v>
      </c>
      <c r="AN404" s="44" t="str">
        <f>VLOOKUP(flu_aw25[[#This Row],[trust_code]],trust_lookup[],3,0)</f>
        <v>Royal Free</v>
      </c>
    </row>
    <row r="405" spans="1:40" x14ac:dyDescent="0.35">
      <c r="A405" s="2" t="s">
        <v>519</v>
      </c>
      <c r="B405" s="2" t="s">
        <v>101</v>
      </c>
      <c r="C405" s="2" t="s">
        <v>102</v>
      </c>
      <c r="D405" s="2" t="s">
        <v>192</v>
      </c>
      <c r="E405" s="2" t="s">
        <v>81</v>
      </c>
      <c r="F405" s="2">
        <v>1397</v>
      </c>
      <c r="G405" s="2">
        <v>290</v>
      </c>
      <c r="H405" s="14" t="str">
        <f>VLOOKUP(flu_group[[#This Row],[trust_code]],trust_lookup[],3,0)</f>
        <v>Imperial</v>
      </c>
      <c r="I405" s="14" t="str">
        <f>VLOOKUP(flu_group[[#This Row],[trust_code]],trust_lookup[],4,0)</f>
        <v>Acute</v>
      </c>
      <c r="K405" s="2" t="s">
        <v>518</v>
      </c>
      <c r="L405" s="2" t="s">
        <v>118</v>
      </c>
      <c r="M405" s="2" t="s">
        <v>119</v>
      </c>
      <c r="N405" s="2" t="s">
        <v>193</v>
      </c>
      <c r="O405" s="2" t="s">
        <v>100</v>
      </c>
      <c r="P405" s="2">
        <v>380</v>
      </c>
      <c r="R405" s="43">
        <v>45614</v>
      </c>
      <c r="S405" s="2">
        <v>47</v>
      </c>
      <c r="T405" s="2" t="s">
        <v>519</v>
      </c>
      <c r="U405" s="2" t="s">
        <v>118</v>
      </c>
      <c r="V405" s="2" t="s">
        <v>119</v>
      </c>
      <c r="W405" s="2" t="s">
        <v>193</v>
      </c>
      <c r="X405" s="23">
        <v>90</v>
      </c>
      <c r="Y405" s="23">
        <v>1412</v>
      </c>
      <c r="Z405" s="23">
        <v>6569</v>
      </c>
      <c r="AA405" s="24">
        <v>0.21494900289237301</v>
      </c>
      <c r="AB405" s="14" t="str">
        <f>VLOOKUP(flu_aw24[[#This Row],[trust_code]],trust_lookup[],3,0)</f>
        <v>L&amp;G</v>
      </c>
      <c r="AD405" s="43">
        <v>46069</v>
      </c>
      <c r="AE405" s="2">
        <v>8</v>
      </c>
      <c r="AF405" s="2" t="s">
        <v>518</v>
      </c>
      <c r="AG405" s="2" t="s">
        <v>157</v>
      </c>
      <c r="AH405" s="2" t="s">
        <v>158</v>
      </c>
      <c r="AI405" s="2" t="s">
        <v>27</v>
      </c>
      <c r="AJ405" s="23">
        <v>6</v>
      </c>
      <c r="AK405" s="23">
        <v>6972</v>
      </c>
      <c r="AL405" s="23">
        <v>18776</v>
      </c>
      <c r="AM405" s="24">
        <v>0.37132509586706403</v>
      </c>
      <c r="AN405" s="44" t="str">
        <f>VLOOKUP(flu_aw25[[#This Row],[trust_code]],trust_lookup[],3,0)</f>
        <v>Royal Free</v>
      </c>
    </row>
    <row r="406" spans="1:40" x14ac:dyDescent="0.35">
      <c r="A406" s="2" t="s">
        <v>519</v>
      </c>
      <c r="B406" s="2" t="s">
        <v>101</v>
      </c>
      <c r="C406" s="2" t="s">
        <v>102</v>
      </c>
      <c r="D406" s="2" t="s">
        <v>192</v>
      </c>
      <c r="E406" s="2" t="s">
        <v>46</v>
      </c>
      <c r="F406" s="2">
        <v>23</v>
      </c>
      <c r="G406" s="2">
        <v>9</v>
      </c>
      <c r="H406" s="14" t="str">
        <f>VLOOKUP(flu_group[[#This Row],[trust_code]],trust_lookup[],3,0)</f>
        <v>Imperial</v>
      </c>
      <c r="I406" s="14" t="str">
        <f>VLOOKUP(flu_group[[#This Row],[trust_code]],trust_lookup[],4,0)</f>
        <v>Acute</v>
      </c>
      <c r="K406" s="2" t="s">
        <v>518</v>
      </c>
      <c r="L406" s="2" t="s">
        <v>118</v>
      </c>
      <c r="M406" s="2" t="s">
        <v>119</v>
      </c>
      <c r="N406" s="2" t="s">
        <v>193</v>
      </c>
      <c r="O406" s="2" t="s">
        <v>75</v>
      </c>
      <c r="P406" s="2">
        <v>95</v>
      </c>
      <c r="R406" s="43">
        <v>45621</v>
      </c>
      <c r="S406" s="2">
        <v>48</v>
      </c>
      <c r="T406" s="2" t="s">
        <v>519</v>
      </c>
      <c r="U406" s="2" t="s">
        <v>118</v>
      </c>
      <c r="V406" s="2" t="s">
        <v>119</v>
      </c>
      <c r="W406" s="2" t="s">
        <v>193</v>
      </c>
      <c r="X406" s="23">
        <v>72</v>
      </c>
      <c r="Y406" s="23">
        <v>1484</v>
      </c>
      <c r="Z406" s="23">
        <v>6569</v>
      </c>
      <c r="AA406" s="24">
        <v>0.22590957527781999</v>
      </c>
      <c r="AB406" s="14" t="str">
        <f>VLOOKUP(flu_aw24[[#This Row],[trust_code]],trust_lookup[],3,0)</f>
        <v>L&amp;G</v>
      </c>
      <c r="AD406" s="43">
        <v>46076</v>
      </c>
      <c r="AE406" s="2">
        <v>9</v>
      </c>
      <c r="AF406" s="2" t="s">
        <v>518</v>
      </c>
      <c r="AG406" s="2" t="s">
        <v>157</v>
      </c>
      <c r="AH406" s="2" t="s">
        <v>158</v>
      </c>
      <c r="AI406" s="2" t="s">
        <v>27</v>
      </c>
      <c r="AJ406" s="23">
        <v>7</v>
      </c>
      <c r="AK406" s="23">
        <v>6979</v>
      </c>
      <c r="AL406" s="23">
        <v>18776</v>
      </c>
      <c r="AM406" s="24">
        <v>0.371697912228376</v>
      </c>
      <c r="AN406" s="44" t="str">
        <f>VLOOKUP(flu_aw25[[#This Row],[trust_code]],trust_lookup[],3,0)</f>
        <v>Royal Free</v>
      </c>
    </row>
    <row r="407" spans="1:40" x14ac:dyDescent="0.35">
      <c r="A407" s="2" t="s">
        <v>519</v>
      </c>
      <c r="B407" s="2" t="s">
        <v>101</v>
      </c>
      <c r="C407" s="2" t="s">
        <v>102</v>
      </c>
      <c r="D407" s="2" t="s">
        <v>192</v>
      </c>
      <c r="E407" s="2" t="s">
        <v>60</v>
      </c>
      <c r="F407" s="2">
        <v>720</v>
      </c>
      <c r="G407" s="2">
        <v>253</v>
      </c>
      <c r="H407" s="14" t="str">
        <f>VLOOKUP(flu_group[[#This Row],[trust_code]],trust_lookup[],3,0)</f>
        <v>Imperial</v>
      </c>
      <c r="I407" s="14" t="str">
        <f>VLOOKUP(flu_group[[#This Row],[trust_code]],trust_lookup[],4,0)</f>
        <v>Acute</v>
      </c>
      <c r="K407" s="2" t="s">
        <v>518</v>
      </c>
      <c r="L407" s="2" t="s">
        <v>118</v>
      </c>
      <c r="M407" s="2" t="s">
        <v>119</v>
      </c>
      <c r="N407" s="2" t="s">
        <v>193</v>
      </c>
      <c r="O407" s="2" t="s">
        <v>106</v>
      </c>
      <c r="P407" s="2">
        <v>42</v>
      </c>
      <c r="R407" s="43">
        <v>45628</v>
      </c>
      <c r="S407" s="2">
        <v>49</v>
      </c>
      <c r="T407" s="2" t="s">
        <v>519</v>
      </c>
      <c r="U407" s="2" t="s">
        <v>118</v>
      </c>
      <c r="V407" s="2" t="s">
        <v>119</v>
      </c>
      <c r="W407" s="2" t="s">
        <v>193</v>
      </c>
      <c r="X407" s="23">
        <v>56</v>
      </c>
      <c r="Y407" s="23">
        <v>1540</v>
      </c>
      <c r="Z407" s="23">
        <v>6569</v>
      </c>
      <c r="AA407" s="24">
        <v>0.234434464910945</v>
      </c>
      <c r="AB407" s="14" t="str">
        <f>VLOOKUP(flu_aw24[[#This Row],[trust_code]],trust_lookup[],3,0)</f>
        <v>L&amp;G</v>
      </c>
      <c r="AD407" s="43">
        <v>45922</v>
      </c>
      <c r="AE407" s="2">
        <v>39</v>
      </c>
      <c r="AF407" s="2" t="s">
        <v>518</v>
      </c>
      <c r="AG407" s="2" t="s">
        <v>173</v>
      </c>
      <c r="AH407" s="2" t="s">
        <v>174</v>
      </c>
      <c r="AI407" s="2" t="s">
        <v>27</v>
      </c>
      <c r="AJ407" s="23">
        <v>1</v>
      </c>
      <c r="AK407" s="23">
        <v>1</v>
      </c>
      <c r="AL407" s="23">
        <v>404</v>
      </c>
      <c r="AM407" s="24">
        <v>2.4752475247524701E-3</v>
      </c>
      <c r="AN407" s="44" t="str">
        <f>VLOOKUP(flu_aw25[[#This Row],[trust_code]],trust_lookup[],3,0)</f>
        <v>T&amp;P</v>
      </c>
    </row>
    <row r="408" spans="1:40" x14ac:dyDescent="0.35">
      <c r="A408" s="2" t="s">
        <v>519</v>
      </c>
      <c r="B408" s="2" t="s">
        <v>101</v>
      </c>
      <c r="C408" s="2" t="s">
        <v>102</v>
      </c>
      <c r="D408" s="2" t="s">
        <v>192</v>
      </c>
      <c r="E408" s="2" t="s">
        <v>28</v>
      </c>
      <c r="F408" s="2">
        <v>981</v>
      </c>
      <c r="G408" s="2">
        <v>223</v>
      </c>
      <c r="H408" s="14" t="str">
        <f>VLOOKUP(flu_group[[#This Row],[trust_code]],trust_lookup[],3,0)</f>
        <v>Imperial</v>
      </c>
      <c r="I408" s="14" t="str">
        <f>VLOOKUP(flu_group[[#This Row],[trust_code]],trust_lookup[],4,0)</f>
        <v>Acute</v>
      </c>
      <c r="K408" s="2" t="s">
        <v>518</v>
      </c>
      <c r="L408" s="2" t="s">
        <v>118</v>
      </c>
      <c r="M408" s="2" t="s">
        <v>119</v>
      </c>
      <c r="N408" s="2" t="s">
        <v>193</v>
      </c>
      <c r="O408" s="2" t="s">
        <v>112</v>
      </c>
      <c r="P408" s="2">
        <v>134</v>
      </c>
      <c r="R408" s="43">
        <v>45635</v>
      </c>
      <c r="S408" s="2">
        <v>50</v>
      </c>
      <c r="T408" s="2" t="s">
        <v>519</v>
      </c>
      <c r="U408" s="2" t="s">
        <v>118</v>
      </c>
      <c r="V408" s="2" t="s">
        <v>119</v>
      </c>
      <c r="W408" s="2" t="s">
        <v>193</v>
      </c>
      <c r="X408" s="23">
        <v>59</v>
      </c>
      <c r="Y408" s="23">
        <v>1599</v>
      </c>
      <c r="Z408" s="23">
        <v>6569</v>
      </c>
      <c r="AA408" s="24">
        <v>0.24341604506013001</v>
      </c>
      <c r="AB408" s="14" t="str">
        <f>VLOOKUP(flu_aw24[[#This Row],[trust_code]],trust_lookup[],3,0)</f>
        <v>L&amp;G</v>
      </c>
      <c r="AD408" s="43">
        <v>45929</v>
      </c>
      <c r="AE408" s="2">
        <v>40</v>
      </c>
      <c r="AF408" s="2" t="s">
        <v>518</v>
      </c>
      <c r="AG408" s="2" t="s">
        <v>173</v>
      </c>
      <c r="AH408" s="2" t="s">
        <v>174</v>
      </c>
      <c r="AI408" s="2" t="s">
        <v>27</v>
      </c>
      <c r="AJ408" s="23">
        <v>32</v>
      </c>
      <c r="AK408" s="23">
        <v>33</v>
      </c>
      <c r="AL408" s="23">
        <v>404</v>
      </c>
      <c r="AM408" s="24">
        <v>8.1683168316831603E-2</v>
      </c>
      <c r="AN408" s="44" t="str">
        <f>VLOOKUP(flu_aw25[[#This Row],[trust_code]],trust_lookup[],3,0)</f>
        <v>T&amp;P</v>
      </c>
    </row>
    <row r="409" spans="1:40" x14ac:dyDescent="0.35">
      <c r="A409" s="2" t="s">
        <v>519</v>
      </c>
      <c r="B409" s="2" t="s">
        <v>101</v>
      </c>
      <c r="C409" s="2" t="s">
        <v>102</v>
      </c>
      <c r="D409" s="2" t="s">
        <v>192</v>
      </c>
      <c r="E409" s="2" t="s">
        <v>74</v>
      </c>
      <c r="F409" s="2">
        <v>709</v>
      </c>
      <c r="G409" s="2">
        <v>196</v>
      </c>
      <c r="H409" s="14" t="str">
        <f>VLOOKUP(flu_group[[#This Row],[trust_code]],trust_lookup[],3,0)</f>
        <v>Imperial</v>
      </c>
      <c r="I409" s="14" t="str">
        <f>VLOOKUP(flu_group[[#This Row],[trust_code]],trust_lookup[],4,0)</f>
        <v>Acute</v>
      </c>
      <c r="K409" s="2" t="s">
        <v>518</v>
      </c>
      <c r="L409" s="2" t="s">
        <v>118</v>
      </c>
      <c r="M409" s="2" t="s">
        <v>119</v>
      </c>
      <c r="N409" s="2" t="s">
        <v>193</v>
      </c>
      <c r="O409" s="2" t="s">
        <v>36</v>
      </c>
      <c r="P409" s="2">
        <v>119</v>
      </c>
      <c r="R409" s="43">
        <v>45642</v>
      </c>
      <c r="S409" s="2">
        <v>51</v>
      </c>
      <c r="T409" s="2" t="s">
        <v>519</v>
      </c>
      <c r="U409" s="2" t="s">
        <v>118</v>
      </c>
      <c r="V409" s="2" t="s">
        <v>119</v>
      </c>
      <c r="W409" s="2" t="s">
        <v>193</v>
      </c>
      <c r="X409" s="23">
        <v>59</v>
      </c>
      <c r="Y409" s="23">
        <v>1658</v>
      </c>
      <c r="Z409" s="23">
        <v>6569</v>
      </c>
      <c r="AA409" s="24">
        <v>0.25239762520931602</v>
      </c>
      <c r="AB409" s="14" t="str">
        <f>VLOOKUP(flu_aw24[[#This Row],[trust_code]],trust_lookup[],3,0)</f>
        <v>L&amp;G</v>
      </c>
      <c r="AD409" s="43">
        <v>45936</v>
      </c>
      <c r="AE409" s="2">
        <v>41</v>
      </c>
      <c r="AF409" s="2" t="s">
        <v>518</v>
      </c>
      <c r="AG409" s="2" t="s">
        <v>173</v>
      </c>
      <c r="AH409" s="2" t="s">
        <v>174</v>
      </c>
      <c r="AI409" s="2" t="s">
        <v>27</v>
      </c>
      <c r="AJ409" s="23">
        <v>25</v>
      </c>
      <c r="AK409" s="23">
        <v>58</v>
      </c>
      <c r="AL409" s="23">
        <v>404</v>
      </c>
      <c r="AM409" s="24">
        <v>0.143564356435643</v>
      </c>
      <c r="AN409" s="44" t="str">
        <f>VLOOKUP(flu_aw25[[#This Row],[trust_code]],trust_lookup[],3,0)</f>
        <v>T&amp;P</v>
      </c>
    </row>
    <row r="410" spans="1:40" x14ac:dyDescent="0.35">
      <c r="A410" s="2" t="s">
        <v>519</v>
      </c>
      <c r="B410" s="2" t="s">
        <v>101</v>
      </c>
      <c r="C410" s="2" t="s">
        <v>102</v>
      </c>
      <c r="D410" s="2" t="s">
        <v>192</v>
      </c>
      <c r="E410" s="2" t="s">
        <v>42</v>
      </c>
      <c r="F410" s="2">
        <v>3083</v>
      </c>
      <c r="G410" s="2">
        <v>1298</v>
      </c>
      <c r="H410" s="14" t="str">
        <f>VLOOKUP(flu_group[[#This Row],[trust_code]],trust_lookup[],3,0)</f>
        <v>Imperial</v>
      </c>
      <c r="I410" s="14" t="str">
        <f>VLOOKUP(flu_group[[#This Row],[trust_code]],trust_lookup[],4,0)</f>
        <v>Acute</v>
      </c>
      <c r="K410" s="2" t="s">
        <v>518</v>
      </c>
      <c r="L410" s="2" t="s">
        <v>152</v>
      </c>
      <c r="M410" s="2" t="s">
        <v>153</v>
      </c>
      <c r="N410" s="2" t="s">
        <v>193</v>
      </c>
      <c r="O410" s="2" t="s">
        <v>68</v>
      </c>
      <c r="P410" s="2">
        <v>527</v>
      </c>
      <c r="R410" s="43">
        <v>45649</v>
      </c>
      <c r="S410" s="2">
        <v>52</v>
      </c>
      <c r="T410" s="2" t="s">
        <v>519</v>
      </c>
      <c r="U410" s="2" t="s">
        <v>118</v>
      </c>
      <c r="V410" s="2" t="s">
        <v>119</v>
      </c>
      <c r="W410" s="2" t="s">
        <v>193</v>
      </c>
      <c r="X410" s="23">
        <v>21</v>
      </c>
      <c r="Y410" s="23">
        <v>1679</v>
      </c>
      <c r="Z410" s="23">
        <v>6569</v>
      </c>
      <c r="AA410" s="24">
        <v>0.25559445882173798</v>
      </c>
      <c r="AB410" s="14" t="str">
        <f>VLOOKUP(flu_aw24[[#This Row],[trust_code]],trust_lookup[],3,0)</f>
        <v>L&amp;G</v>
      </c>
      <c r="AD410" s="43">
        <v>45943</v>
      </c>
      <c r="AE410" s="2">
        <v>42</v>
      </c>
      <c r="AF410" s="2" t="s">
        <v>518</v>
      </c>
      <c r="AG410" s="2" t="s">
        <v>173</v>
      </c>
      <c r="AH410" s="2" t="s">
        <v>174</v>
      </c>
      <c r="AI410" s="2" t="s">
        <v>27</v>
      </c>
      <c r="AJ410" s="23">
        <v>18</v>
      </c>
      <c r="AK410" s="23">
        <v>76</v>
      </c>
      <c r="AL410" s="23">
        <v>404</v>
      </c>
      <c r="AM410" s="24">
        <v>0.18811881188118801</v>
      </c>
      <c r="AN410" s="44" t="str">
        <f>VLOOKUP(flu_aw25[[#This Row],[trust_code]],trust_lookup[],3,0)</f>
        <v>T&amp;P</v>
      </c>
    </row>
    <row r="411" spans="1:40" x14ac:dyDescent="0.35">
      <c r="A411" s="2" t="s">
        <v>519</v>
      </c>
      <c r="B411" s="2" t="s">
        <v>101</v>
      </c>
      <c r="C411" s="2" t="s">
        <v>102</v>
      </c>
      <c r="D411" s="2" t="s">
        <v>192</v>
      </c>
      <c r="E411" s="2" t="s">
        <v>53</v>
      </c>
      <c r="F411" s="2">
        <v>4402</v>
      </c>
      <c r="G411" s="2">
        <v>1253</v>
      </c>
      <c r="H411" s="14" t="str">
        <f>VLOOKUP(flu_group[[#This Row],[trust_code]],trust_lookup[],3,0)</f>
        <v>Imperial</v>
      </c>
      <c r="I411" s="14" t="str">
        <f>VLOOKUP(flu_group[[#This Row],[trust_code]],trust_lookup[],4,0)</f>
        <v>Acute</v>
      </c>
      <c r="K411" s="2" t="s">
        <v>518</v>
      </c>
      <c r="L411" s="2" t="s">
        <v>152</v>
      </c>
      <c r="M411" s="2" t="s">
        <v>153</v>
      </c>
      <c r="N411" s="2" t="s">
        <v>193</v>
      </c>
      <c r="O411" s="2" t="s">
        <v>135</v>
      </c>
      <c r="P411" s="2">
        <v>10</v>
      </c>
      <c r="R411" s="43">
        <v>45656</v>
      </c>
      <c r="S411" s="2">
        <v>1</v>
      </c>
      <c r="T411" s="2" t="s">
        <v>519</v>
      </c>
      <c r="U411" s="2" t="s">
        <v>118</v>
      </c>
      <c r="V411" s="2" t="s">
        <v>119</v>
      </c>
      <c r="W411" s="2" t="s">
        <v>193</v>
      </c>
      <c r="X411" s="23">
        <v>38</v>
      </c>
      <c r="Y411" s="23">
        <v>1717</v>
      </c>
      <c r="Z411" s="23">
        <v>6569</v>
      </c>
      <c r="AA411" s="24">
        <v>0.26137920535850201</v>
      </c>
      <c r="AB411" s="14" t="str">
        <f>VLOOKUP(flu_aw24[[#This Row],[trust_code]],trust_lookup[],3,0)</f>
        <v>L&amp;G</v>
      </c>
      <c r="AD411" s="43">
        <v>45950</v>
      </c>
      <c r="AE411" s="2">
        <v>43</v>
      </c>
      <c r="AF411" s="2" t="s">
        <v>518</v>
      </c>
      <c r="AG411" s="2" t="s">
        <v>173</v>
      </c>
      <c r="AH411" s="2" t="s">
        <v>174</v>
      </c>
      <c r="AI411" s="2" t="s">
        <v>27</v>
      </c>
      <c r="AJ411" s="23">
        <v>11</v>
      </c>
      <c r="AK411" s="23">
        <v>87</v>
      </c>
      <c r="AL411" s="23">
        <v>404</v>
      </c>
      <c r="AM411" s="24">
        <v>0.21534653465346501</v>
      </c>
      <c r="AN411" s="44" t="str">
        <f>VLOOKUP(flu_aw25[[#This Row],[trust_code]],trust_lookup[],3,0)</f>
        <v>T&amp;P</v>
      </c>
    </row>
    <row r="412" spans="1:40" x14ac:dyDescent="0.35">
      <c r="A412" s="2" t="s">
        <v>519</v>
      </c>
      <c r="B412" s="2" t="s">
        <v>124</v>
      </c>
      <c r="C412" s="2" t="s">
        <v>125</v>
      </c>
      <c r="D412" s="2" t="s">
        <v>192</v>
      </c>
      <c r="E412" s="2" t="s">
        <v>81</v>
      </c>
      <c r="F412" s="2">
        <v>1418</v>
      </c>
      <c r="G412" s="2">
        <v>556</v>
      </c>
      <c r="H412" s="14" t="str">
        <f>VLOOKUP(flu_group[[#This Row],[trust_code]],trust_lookup[],3,0)</f>
        <v>LAS</v>
      </c>
      <c r="I412" s="14" t="str">
        <f>VLOOKUP(flu_group[[#This Row],[trust_code]],trust_lookup[],4,0)</f>
        <v>Ambulance</v>
      </c>
      <c r="K412" s="2" t="s">
        <v>518</v>
      </c>
      <c r="L412" s="2" t="s">
        <v>152</v>
      </c>
      <c r="M412" s="2" t="s">
        <v>153</v>
      </c>
      <c r="N412" s="2" t="s">
        <v>193</v>
      </c>
      <c r="O412" s="2" t="s">
        <v>54</v>
      </c>
      <c r="P412" s="2">
        <v>75</v>
      </c>
      <c r="R412" s="43">
        <v>45663</v>
      </c>
      <c r="S412" s="2">
        <v>2</v>
      </c>
      <c r="T412" s="2" t="s">
        <v>519</v>
      </c>
      <c r="U412" s="2" t="s">
        <v>118</v>
      </c>
      <c r="V412" s="2" t="s">
        <v>119</v>
      </c>
      <c r="W412" s="2" t="s">
        <v>193</v>
      </c>
      <c r="X412" s="23">
        <v>84</v>
      </c>
      <c r="Y412" s="23">
        <v>1801</v>
      </c>
      <c r="Z412" s="23">
        <v>6569</v>
      </c>
      <c r="AA412" s="24">
        <v>0.27416653980819</v>
      </c>
      <c r="AB412" s="14" t="str">
        <f>VLOOKUP(flu_aw24[[#This Row],[trust_code]],trust_lookup[],3,0)</f>
        <v>L&amp;G</v>
      </c>
      <c r="AD412" s="43">
        <v>45957</v>
      </c>
      <c r="AE412" s="2">
        <v>44</v>
      </c>
      <c r="AF412" s="2" t="s">
        <v>518</v>
      </c>
      <c r="AG412" s="2" t="s">
        <v>173</v>
      </c>
      <c r="AH412" s="2" t="s">
        <v>174</v>
      </c>
      <c r="AI412" s="2" t="s">
        <v>27</v>
      </c>
      <c r="AJ412" s="23">
        <v>13</v>
      </c>
      <c r="AK412" s="23">
        <v>100</v>
      </c>
      <c r="AL412" s="23">
        <v>404</v>
      </c>
      <c r="AM412" s="24">
        <v>0.247524752475247</v>
      </c>
      <c r="AN412" s="44" t="str">
        <f>VLOOKUP(flu_aw25[[#This Row],[trust_code]],trust_lookup[],3,0)</f>
        <v>T&amp;P</v>
      </c>
    </row>
    <row r="413" spans="1:40" x14ac:dyDescent="0.35">
      <c r="A413" s="2" t="s">
        <v>519</v>
      </c>
      <c r="B413" s="2" t="s">
        <v>124</v>
      </c>
      <c r="C413" s="2" t="s">
        <v>125</v>
      </c>
      <c r="D413" s="2" t="s">
        <v>192</v>
      </c>
      <c r="E413" s="2" t="s">
        <v>46</v>
      </c>
      <c r="F413" s="2">
        <v>43</v>
      </c>
      <c r="G413" s="2">
        <v>25</v>
      </c>
      <c r="H413" s="14" t="str">
        <f>VLOOKUP(flu_group[[#This Row],[trust_code]],trust_lookup[],3,0)</f>
        <v>LAS</v>
      </c>
      <c r="I413" s="14" t="str">
        <f>VLOOKUP(flu_group[[#This Row],[trust_code]],trust_lookup[],4,0)</f>
        <v>Ambulance</v>
      </c>
      <c r="K413" s="2" t="s">
        <v>518</v>
      </c>
      <c r="L413" s="2" t="s">
        <v>152</v>
      </c>
      <c r="M413" s="2" t="s">
        <v>153</v>
      </c>
      <c r="N413" s="2" t="s">
        <v>193</v>
      </c>
      <c r="O413" s="2" t="s">
        <v>129</v>
      </c>
      <c r="P413" s="2">
        <v>6</v>
      </c>
      <c r="R413" s="43">
        <v>45670</v>
      </c>
      <c r="S413" s="2">
        <v>3</v>
      </c>
      <c r="T413" s="2" t="s">
        <v>519</v>
      </c>
      <c r="U413" s="2" t="s">
        <v>118</v>
      </c>
      <c r="V413" s="2" t="s">
        <v>119</v>
      </c>
      <c r="W413" s="2" t="s">
        <v>193</v>
      </c>
      <c r="X413" s="23">
        <v>35</v>
      </c>
      <c r="Y413" s="23">
        <v>1836</v>
      </c>
      <c r="Z413" s="23">
        <v>6569</v>
      </c>
      <c r="AA413" s="24">
        <v>0.27949459582889302</v>
      </c>
      <c r="AB413" s="14" t="str">
        <f>VLOOKUP(flu_aw24[[#This Row],[trust_code]],trust_lookup[],3,0)</f>
        <v>L&amp;G</v>
      </c>
      <c r="AD413" s="43">
        <v>45964</v>
      </c>
      <c r="AE413" s="2">
        <v>45</v>
      </c>
      <c r="AF413" s="2" t="s">
        <v>518</v>
      </c>
      <c r="AG413" s="2" t="s">
        <v>173</v>
      </c>
      <c r="AH413" s="2" t="s">
        <v>174</v>
      </c>
      <c r="AI413" s="2" t="s">
        <v>27</v>
      </c>
      <c r="AJ413" s="23">
        <v>8</v>
      </c>
      <c r="AK413" s="23">
        <v>108</v>
      </c>
      <c r="AL413" s="23">
        <v>404</v>
      </c>
      <c r="AM413" s="24">
        <v>0.26732673267326701</v>
      </c>
      <c r="AN413" s="44" t="str">
        <f>VLOOKUP(flu_aw25[[#This Row],[trust_code]],trust_lookup[],3,0)</f>
        <v>T&amp;P</v>
      </c>
    </row>
    <row r="414" spans="1:40" x14ac:dyDescent="0.35">
      <c r="A414" s="2" t="s">
        <v>519</v>
      </c>
      <c r="B414" s="2" t="s">
        <v>124</v>
      </c>
      <c r="C414" s="2" t="s">
        <v>125</v>
      </c>
      <c r="D414" s="2" t="s">
        <v>192</v>
      </c>
      <c r="E414" s="2" t="s">
        <v>60</v>
      </c>
      <c r="F414" s="2">
        <v>2260</v>
      </c>
      <c r="G414" s="2">
        <v>942</v>
      </c>
      <c r="H414" s="14" t="str">
        <f>VLOOKUP(flu_group[[#This Row],[trust_code]],trust_lookup[],3,0)</f>
        <v>LAS</v>
      </c>
      <c r="I414" s="14" t="str">
        <f>VLOOKUP(flu_group[[#This Row],[trust_code]],trust_lookup[],4,0)</f>
        <v>Ambulance</v>
      </c>
      <c r="K414" s="2" t="s">
        <v>518</v>
      </c>
      <c r="L414" s="2" t="s">
        <v>152</v>
      </c>
      <c r="M414" s="2" t="s">
        <v>153</v>
      </c>
      <c r="N414" s="2" t="s">
        <v>193</v>
      </c>
      <c r="O414" s="2" t="s">
        <v>47</v>
      </c>
      <c r="P414" s="2">
        <v>25</v>
      </c>
      <c r="R414" s="43">
        <v>45677</v>
      </c>
      <c r="S414" s="2">
        <v>4</v>
      </c>
      <c r="T414" s="2" t="s">
        <v>519</v>
      </c>
      <c r="U414" s="2" t="s">
        <v>118</v>
      </c>
      <c r="V414" s="2" t="s">
        <v>119</v>
      </c>
      <c r="W414" s="2" t="s">
        <v>193</v>
      </c>
      <c r="X414" s="23">
        <v>22</v>
      </c>
      <c r="Y414" s="23">
        <v>1858</v>
      </c>
      <c r="Z414" s="23">
        <v>6569</v>
      </c>
      <c r="AA414" s="24">
        <v>0.28284365961333502</v>
      </c>
      <c r="AB414" s="14" t="str">
        <f>VLOOKUP(flu_aw24[[#This Row],[trust_code]],trust_lookup[],3,0)</f>
        <v>L&amp;G</v>
      </c>
      <c r="AD414" s="43">
        <v>45971</v>
      </c>
      <c r="AE414" s="2">
        <v>46</v>
      </c>
      <c r="AF414" s="2" t="s">
        <v>518</v>
      </c>
      <c r="AG414" s="2" t="s">
        <v>173</v>
      </c>
      <c r="AH414" s="2" t="s">
        <v>174</v>
      </c>
      <c r="AI414" s="2" t="s">
        <v>27</v>
      </c>
      <c r="AJ414" s="23">
        <v>13</v>
      </c>
      <c r="AK414" s="23">
        <v>121</v>
      </c>
      <c r="AL414" s="23">
        <v>404</v>
      </c>
      <c r="AM414" s="24">
        <v>0.29950495049504899</v>
      </c>
      <c r="AN414" s="44" t="str">
        <f>VLOOKUP(flu_aw25[[#This Row],[trust_code]],trust_lookup[],3,0)</f>
        <v>T&amp;P</v>
      </c>
    </row>
    <row r="415" spans="1:40" x14ac:dyDescent="0.35">
      <c r="A415" s="2" t="s">
        <v>519</v>
      </c>
      <c r="B415" s="2" t="s">
        <v>124</v>
      </c>
      <c r="C415" s="2" t="s">
        <v>125</v>
      </c>
      <c r="D415" s="2" t="s">
        <v>192</v>
      </c>
      <c r="E415" s="2" t="s">
        <v>42</v>
      </c>
      <c r="F415" s="2">
        <v>4</v>
      </c>
      <c r="G415" s="2">
        <v>2</v>
      </c>
      <c r="H415" s="14" t="str">
        <f>VLOOKUP(flu_group[[#This Row],[trust_code]],trust_lookup[],3,0)</f>
        <v>LAS</v>
      </c>
      <c r="I415" s="14" t="str">
        <f>VLOOKUP(flu_group[[#This Row],[trust_code]],trust_lookup[],4,0)</f>
        <v>Ambulance</v>
      </c>
      <c r="K415" s="2" t="s">
        <v>518</v>
      </c>
      <c r="L415" s="2" t="s">
        <v>152</v>
      </c>
      <c r="M415" s="2" t="s">
        <v>153</v>
      </c>
      <c r="N415" s="2" t="s">
        <v>193</v>
      </c>
      <c r="O415" s="2" t="s">
        <v>94</v>
      </c>
      <c r="P415" s="2">
        <v>5</v>
      </c>
      <c r="R415" s="43">
        <v>45684</v>
      </c>
      <c r="S415" s="2">
        <v>5</v>
      </c>
      <c r="T415" s="2" t="s">
        <v>519</v>
      </c>
      <c r="U415" s="2" t="s">
        <v>118</v>
      </c>
      <c r="V415" s="2" t="s">
        <v>119</v>
      </c>
      <c r="W415" s="2" t="s">
        <v>193</v>
      </c>
      <c r="X415" s="23">
        <v>15</v>
      </c>
      <c r="Y415" s="23">
        <v>1873</v>
      </c>
      <c r="Z415" s="23">
        <v>6569</v>
      </c>
      <c r="AA415" s="24">
        <v>0.28512711219363601</v>
      </c>
      <c r="AB415" s="14" t="str">
        <f>VLOOKUP(flu_aw24[[#This Row],[trust_code]],trust_lookup[],3,0)</f>
        <v>L&amp;G</v>
      </c>
      <c r="AD415" s="43">
        <v>45978</v>
      </c>
      <c r="AE415" s="2">
        <v>47</v>
      </c>
      <c r="AF415" s="2" t="s">
        <v>518</v>
      </c>
      <c r="AG415" s="2" t="s">
        <v>173</v>
      </c>
      <c r="AH415" s="2" t="s">
        <v>174</v>
      </c>
      <c r="AI415" s="2" t="s">
        <v>27</v>
      </c>
      <c r="AJ415" s="23">
        <v>4</v>
      </c>
      <c r="AK415" s="23">
        <v>125</v>
      </c>
      <c r="AL415" s="23">
        <v>404</v>
      </c>
      <c r="AM415" s="24">
        <v>0.30940594059405901</v>
      </c>
      <c r="AN415" s="44" t="str">
        <f>VLOOKUP(flu_aw25[[#This Row],[trust_code]],trust_lookup[],3,0)</f>
        <v>T&amp;P</v>
      </c>
    </row>
    <row r="416" spans="1:40" x14ac:dyDescent="0.35">
      <c r="A416" s="2" t="s">
        <v>519</v>
      </c>
      <c r="B416" s="2" t="s">
        <v>124</v>
      </c>
      <c r="C416" s="2" t="s">
        <v>125</v>
      </c>
      <c r="D416" s="2" t="s">
        <v>192</v>
      </c>
      <c r="E416" s="2" t="s">
        <v>53</v>
      </c>
      <c r="F416" s="2">
        <v>22</v>
      </c>
      <c r="G416" s="2">
        <v>7</v>
      </c>
      <c r="H416" s="14" t="str">
        <f>VLOOKUP(flu_group[[#This Row],[trust_code]],trust_lookup[],3,0)</f>
        <v>LAS</v>
      </c>
      <c r="I416" s="14" t="str">
        <f>VLOOKUP(flu_group[[#This Row],[trust_code]],trust_lookup[],4,0)</f>
        <v>Ambulance</v>
      </c>
      <c r="K416" s="2" t="s">
        <v>518</v>
      </c>
      <c r="L416" s="2" t="s">
        <v>152</v>
      </c>
      <c r="M416" s="2" t="s">
        <v>153</v>
      </c>
      <c r="N416" s="2" t="s">
        <v>193</v>
      </c>
      <c r="O416" s="2" t="s">
        <v>29</v>
      </c>
      <c r="P416" s="2">
        <v>13</v>
      </c>
      <c r="R416" s="43">
        <v>45691</v>
      </c>
      <c r="S416" s="2">
        <v>6</v>
      </c>
      <c r="T416" s="2" t="s">
        <v>519</v>
      </c>
      <c r="U416" s="2" t="s">
        <v>118</v>
      </c>
      <c r="V416" s="2" t="s">
        <v>119</v>
      </c>
      <c r="W416" s="2" t="s">
        <v>193</v>
      </c>
      <c r="X416" s="23">
        <v>17</v>
      </c>
      <c r="Y416" s="23">
        <v>1890</v>
      </c>
      <c r="Z416" s="23">
        <v>6569</v>
      </c>
      <c r="AA416" s="24">
        <v>0.28771502511797797</v>
      </c>
      <c r="AB416" s="14" t="str">
        <f>VLOOKUP(flu_aw24[[#This Row],[trust_code]],trust_lookup[],3,0)</f>
        <v>L&amp;G</v>
      </c>
      <c r="AD416" s="43">
        <v>45985</v>
      </c>
      <c r="AE416" s="2">
        <v>48</v>
      </c>
      <c r="AF416" s="2" t="s">
        <v>518</v>
      </c>
      <c r="AG416" s="2" t="s">
        <v>173</v>
      </c>
      <c r="AH416" s="2" t="s">
        <v>174</v>
      </c>
      <c r="AI416" s="2" t="s">
        <v>27</v>
      </c>
      <c r="AJ416" s="23">
        <v>10</v>
      </c>
      <c r="AK416" s="23">
        <v>135</v>
      </c>
      <c r="AL416" s="23">
        <v>404</v>
      </c>
      <c r="AM416" s="24">
        <v>0.33415841584158401</v>
      </c>
      <c r="AN416" s="44" t="str">
        <f>VLOOKUP(flu_aw25[[#This Row],[trust_code]],trust_lookup[],3,0)</f>
        <v>T&amp;P</v>
      </c>
    </row>
    <row r="417" spans="1:40" x14ac:dyDescent="0.35">
      <c r="A417" s="2" t="s">
        <v>519</v>
      </c>
      <c r="B417" s="2" t="s">
        <v>130</v>
      </c>
      <c r="C417" s="2" t="s">
        <v>131</v>
      </c>
      <c r="D417" s="2" t="s">
        <v>192</v>
      </c>
      <c r="E417" s="2" t="s">
        <v>67</v>
      </c>
      <c r="F417" s="2">
        <v>189</v>
      </c>
      <c r="G417" s="2">
        <v>66</v>
      </c>
      <c r="H417" s="14" t="str">
        <f>VLOOKUP(flu_group[[#This Row],[trust_code]],trust_lookup[],3,0)</f>
        <v>LNW</v>
      </c>
      <c r="I417" s="14" t="str">
        <f>VLOOKUP(flu_group[[#This Row],[trust_code]],trust_lookup[],4,0)</f>
        <v>Acute</v>
      </c>
      <c r="K417" s="2" t="s">
        <v>518</v>
      </c>
      <c r="L417" s="2" t="s">
        <v>152</v>
      </c>
      <c r="M417" s="2" t="s">
        <v>153</v>
      </c>
      <c r="N417" s="2" t="s">
        <v>193</v>
      </c>
      <c r="O417" s="2" t="s">
        <v>123</v>
      </c>
      <c r="P417" s="2">
        <v>45</v>
      </c>
      <c r="R417" s="43">
        <v>45698</v>
      </c>
      <c r="S417" s="2">
        <v>7</v>
      </c>
      <c r="T417" s="2" t="s">
        <v>519</v>
      </c>
      <c r="U417" s="2" t="s">
        <v>118</v>
      </c>
      <c r="V417" s="2" t="s">
        <v>119</v>
      </c>
      <c r="W417" s="2" t="s">
        <v>193</v>
      </c>
      <c r="X417" s="23">
        <v>13</v>
      </c>
      <c r="Y417" s="23">
        <v>1903</v>
      </c>
      <c r="Z417" s="23">
        <v>6569</v>
      </c>
      <c r="AA417" s="24">
        <v>0.289694017354239</v>
      </c>
      <c r="AB417" s="14" t="str">
        <f>VLOOKUP(flu_aw24[[#This Row],[trust_code]],trust_lookup[],3,0)</f>
        <v>L&amp;G</v>
      </c>
      <c r="AD417" s="43">
        <v>45992</v>
      </c>
      <c r="AE417" s="2">
        <v>49</v>
      </c>
      <c r="AF417" s="2" t="s">
        <v>518</v>
      </c>
      <c r="AG417" s="2" t="s">
        <v>173</v>
      </c>
      <c r="AH417" s="2" t="s">
        <v>174</v>
      </c>
      <c r="AI417" s="2" t="s">
        <v>27</v>
      </c>
      <c r="AJ417" s="23">
        <v>7</v>
      </c>
      <c r="AK417" s="23">
        <v>142</v>
      </c>
      <c r="AL417" s="23">
        <v>404</v>
      </c>
      <c r="AM417" s="24">
        <v>0.35148514851485102</v>
      </c>
      <c r="AN417" s="44" t="str">
        <f>VLOOKUP(flu_aw25[[#This Row],[trust_code]],trust_lookup[],3,0)</f>
        <v>T&amp;P</v>
      </c>
    </row>
    <row r="418" spans="1:40" x14ac:dyDescent="0.35">
      <c r="A418" s="2" t="s">
        <v>519</v>
      </c>
      <c r="B418" s="2" t="s">
        <v>130</v>
      </c>
      <c r="C418" s="2" t="s">
        <v>131</v>
      </c>
      <c r="D418" s="2" t="s">
        <v>192</v>
      </c>
      <c r="E418" s="2" t="s">
        <v>81</v>
      </c>
      <c r="F418" s="2">
        <v>544</v>
      </c>
      <c r="G418" s="2">
        <v>121</v>
      </c>
      <c r="H418" s="14" t="str">
        <f>VLOOKUP(flu_group[[#This Row],[trust_code]],trust_lookup[],3,0)</f>
        <v>LNW</v>
      </c>
      <c r="I418" s="14" t="str">
        <f>VLOOKUP(flu_group[[#This Row],[trust_code]],trust_lookup[],4,0)</f>
        <v>Acute</v>
      </c>
      <c r="K418" s="2" t="s">
        <v>518</v>
      </c>
      <c r="L418" s="2" t="s">
        <v>152</v>
      </c>
      <c r="M418" s="2" t="s">
        <v>153</v>
      </c>
      <c r="N418" s="2" t="s">
        <v>193</v>
      </c>
      <c r="O418" s="2" t="s">
        <v>82</v>
      </c>
      <c r="P418" s="2">
        <v>5</v>
      </c>
      <c r="R418" s="43">
        <v>45705</v>
      </c>
      <c r="S418" s="2">
        <v>8</v>
      </c>
      <c r="T418" s="2" t="s">
        <v>519</v>
      </c>
      <c r="U418" s="2" t="s">
        <v>118</v>
      </c>
      <c r="V418" s="2" t="s">
        <v>119</v>
      </c>
      <c r="W418" s="2" t="s">
        <v>193</v>
      </c>
      <c r="X418" s="23">
        <v>7</v>
      </c>
      <c r="Y418" s="23">
        <v>1910</v>
      </c>
      <c r="Z418" s="23">
        <v>6569</v>
      </c>
      <c r="AA418" s="24">
        <v>0.29075962855838</v>
      </c>
      <c r="AB418" s="14" t="str">
        <f>VLOOKUP(flu_aw24[[#This Row],[trust_code]],trust_lookup[],3,0)</f>
        <v>L&amp;G</v>
      </c>
      <c r="AD418" s="43">
        <v>45999</v>
      </c>
      <c r="AE418" s="2">
        <v>50</v>
      </c>
      <c r="AF418" s="2" t="s">
        <v>518</v>
      </c>
      <c r="AG418" s="2" t="s">
        <v>173</v>
      </c>
      <c r="AH418" s="2" t="s">
        <v>174</v>
      </c>
      <c r="AI418" s="2" t="s">
        <v>27</v>
      </c>
      <c r="AJ418" s="23">
        <v>6</v>
      </c>
      <c r="AK418" s="23">
        <v>148</v>
      </c>
      <c r="AL418" s="23">
        <v>404</v>
      </c>
      <c r="AM418" s="24">
        <v>0.366336633663366</v>
      </c>
      <c r="AN418" s="44" t="str">
        <f>VLOOKUP(flu_aw25[[#This Row],[trust_code]],trust_lookup[],3,0)</f>
        <v>T&amp;P</v>
      </c>
    </row>
    <row r="419" spans="1:40" x14ac:dyDescent="0.35">
      <c r="A419" s="2" t="s">
        <v>519</v>
      </c>
      <c r="B419" s="2" t="s">
        <v>130</v>
      </c>
      <c r="C419" s="2" t="s">
        <v>131</v>
      </c>
      <c r="D419" s="2" t="s">
        <v>192</v>
      </c>
      <c r="E419" s="2" t="s">
        <v>46</v>
      </c>
      <c r="F419" s="2">
        <v>62</v>
      </c>
      <c r="G419" s="2">
        <v>19</v>
      </c>
      <c r="H419" s="14" t="str">
        <f>VLOOKUP(flu_group[[#This Row],[trust_code]],trust_lookup[],3,0)</f>
        <v>LNW</v>
      </c>
      <c r="I419" s="14" t="str">
        <f>VLOOKUP(flu_group[[#This Row],[trust_code]],trust_lookup[],4,0)</f>
        <v>Acute</v>
      </c>
      <c r="K419" s="2" t="s">
        <v>518</v>
      </c>
      <c r="L419" s="2" t="s">
        <v>152</v>
      </c>
      <c r="M419" s="2" t="s">
        <v>153</v>
      </c>
      <c r="N419" s="2" t="s">
        <v>193</v>
      </c>
      <c r="O419" s="2" t="s">
        <v>88</v>
      </c>
      <c r="P419" s="2">
        <v>2</v>
      </c>
      <c r="R419" s="43">
        <v>45712</v>
      </c>
      <c r="S419" s="2">
        <v>9</v>
      </c>
      <c r="T419" s="2" t="s">
        <v>519</v>
      </c>
      <c r="U419" s="2" t="s">
        <v>118</v>
      </c>
      <c r="V419" s="2" t="s">
        <v>119</v>
      </c>
      <c r="W419" s="2" t="s">
        <v>193</v>
      </c>
      <c r="X419" s="23">
        <v>2</v>
      </c>
      <c r="Y419" s="23">
        <v>1912</v>
      </c>
      <c r="Z419" s="23">
        <v>6569</v>
      </c>
      <c r="AA419" s="24">
        <v>0.29106408890242003</v>
      </c>
      <c r="AB419" s="14" t="str">
        <f>VLOOKUP(flu_aw24[[#This Row],[trust_code]],trust_lookup[],3,0)</f>
        <v>L&amp;G</v>
      </c>
      <c r="AD419" s="43">
        <v>46006</v>
      </c>
      <c r="AE419" s="2">
        <v>51</v>
      </c>
      <c r="AF419" s="2" t="s">
        <v>518</v>
      </c>
      <c r="AG419" s="2" t="s">
        <v>173</v>
      </c>
      <c r="AH419" s="2" t="s">
        <v>174</v>
      </c>
      <c r="AI419" s="2" t="s">
        <v>27</v>
      </c>
      <c r="AJ419" s="23">
        <v>12</v>
      </c>
      <c r="AK419" s="23">
        <v>160</v>
      </c>
      <c r="AL419" s="23">
        <v>404</v>
      </c>
      <c r="AM419" s="24">
        <v>0.396039603960396</v>
      </c>
      <c r="AN419" s="44" t="str">
        <f>VLOOKUP(flu_aw25[[#This Row],[trust_code]],trust_lookup[],3,0)</f>
        <v>T&amp;P</v>
      </c>
    </row>
    <row r="420" spans="1:40" x14ac:dyDescent="0.35">
      <c r="A420" s="2" t="s">
        <v>519</v>
      </c>
      <c r="B420" s="2" t="s">
        <v>130</v>
      </c>
      <c r="C420" s="2" t="s">
        <v>131</v>
      </c>
      <c r="D420" s="2" t="s">
        <v>192</v>
      </c>
      <c r="E420" s="2" t="s">
        <v>60</v>
      </c>
      <c r="F420" s="2">
        <v>324</v>
      </c>
      <c r="G420" s="2">
        <v>130</v>
      </c>
      <c r="H420" s="14" t="str">
        <f>VLOOKUP(flu_group[[#This Row],[trust_code]],trust_lookup[],3,0)</f>
        <v>LNW</v>
      </c>
      <c r="I420" s="14" t="str">
        <f>VLOOKUP(flu_group[[#This Row],[trust_code]],trust_lookup[],4,0)</f>
        <v>Acute</v>
      </c>
      <c r="K420" s="2" t="s">
        <v>518</v>
      </c>
      <c r="L420" s="2" t="s">
        <v>152</v>
      </c>
      <c r="M420" s="2" t="s">
        <v>153</v>
      </c>
      <c r="N420" s="2" t="s">
        <v>193</v>
      </c>
      <c r="O420" s="2" t="s">
        <v>141</v>
      </c>
      <c r="P420" s="2">
        <v>34</v>
      </c>
      <c r="R420" s="43">
        <v>45719</v>
      </c>
      <c r="S420" s="2">
        <v>10</v>
      </c>
      <c r="T420" s="2" t="s">
        <v>519</v>
      </c>
      <c r="U420" s="2" t="s">
        <v>118</v>
      </c>
      <c r="V420" s="2" t="s">
        <v>119</v>
      </c>
      <c r="W420" s="2" t="s">
        <v>193</v>
      </c>
      <c r="X420" s="23">
        <v>2</v>
      </c>
      <c r="Y420" s="23">
        <v>1914</v>
      </c>
      <c r="Z420" s="23">
        <v>6569</v>
      </c>
      <c r="AA420" s="24">
        <v>0.29136854924646</v>
      </c>
      <c r="AB420" s="14" t="str">
        <f>VLOOKUP(flu_aw24[[#This Row],[trust_code]],trust_lookup[],3,0)</f>
        <v>L&amp;G</v>
      </c>
      <c r="AD420" s="43">
        <v>46013</v>
      </c>
      <c r="AE420" s="2">
        <v>52</v>
      </c>
      <c r="AF420" s="2" t="s">
        <v>518</v>
      </c>
      <c r="AG420" s="2" t="s">
        <v>173</v>
      </c>
      <c r="AH420" s="2" t="s">
        <v>174</v>
      </c>
      <c r="AI420" s="2" t="s">
        <v>27</v>
      </c>
      <c r="AJ420" s="23">
        <v>1</v>
      </c>
      <c r="AK420" s="23">
        <v>161</v>
      </c>
      <c r="AL420" s="23">
        <v>404</v>
      </c>
      <c r="AM420" s="24">
        <v>0.39851485148514798</v>
      </c>
      <c r="AN420" s="44" t="str">
        <f>VLOOKUP(flu_aw25[[#This Row],[trust_code]],trust_lookup[],3,0)</f>
        <v>T&amp;P</v>
      </c>
    </row>
    <row r="421" spans="1:40" x14ac:dyDescent="0.35">
      <c r="A421" s="2" t="s">
        <v>519</v>
      </c>
      <c r="B421" s="2" t="s">
        <v>130</v>
      </c>
      <c r="C421" s="2" t="s">
        <v>131</v>
      </c>
      <c r="D421" s="2" t="s">
        <v>192</v>
      </c>
      <c r="E421" s="2" t="s">
        <v>28</v>
      </c>
      <c r="F421" s="2">
        <v>67</v>
      </c>
      <c r="G421" s="2">
        <v>15</v>
      </c>
      <c r="H421" s="14" t="str">
        <f>VLOOKUP(flu_group[[#This Row],[trust_code]],trust_lookup[],3,0)</f>
        <v>LNW</v>
      </c>
      <c r="I421" s="14" t="str">
        <f>VLOOKUP(flu_group[[#This Row],[trust_code]],trust_lookup[],4,0)</f>
        <v>Acute</v>
      </c>
      <c r="K421" s="2" t="s">
        <v>518</v>
      </c>
      <c r="L421" s="2" t="s">
        <v>152</v>
      </c>
      <c r="M421" s="2" t="s">
        <v>153</v>
      </c>
      <c r="N421" s="2" t="s">
        <v>193</v>
      </c>
      <c r="O421" s="2" t="s">
        <v>61</v>
      </c>
      <c r="P421" s="2">
        <v>25</v>
      </c>
      <c r="R421" s="43">
        <v>45726</v>
      </c>
      <c r="S421" s="2">
        <v>11</v>
      </c>
      <c r="T421" s="2" t="s">
        <v>519</v>
      </c>
      <c r="U421" s="2" t="s">
        <v>118</v>
      </c>
      <c r="V421" s="2" t="s">
        <v>119</v>
      </c>
      <c r="W421" s="2" t="s">
        <v>193</v>
      </c>
      <c r="X421" s="23">
        <v>12</v>
      </c>
      <c r="Y421" s="23">
        <v>1926</v>
      </c>
      <c r="Z421" s="23">
        <v>6569</v>
      </c>
      <c r="AA421" s="24">
        <v>0.29319531131070098</v>
      </c>
      <c r="AB421" s="14" t="str">
        <f>VLOOKUP(flu_aw24[[#This Row],[trust_code]],trust_lookup[],3,0)</f>
        <v>L&amp;G</v>
      </c>
      <c r="AD421" s="43">
        <v>46020</v>
      </c>
      <c r="AE421" s="2">
        <v>1</v>
      </c>
      <c r="AF421" s="2" t="s">
        <v>518</v>
      </c>
      <c r="AG421" s="2" t="s">
        <v>173</v>
      </c>
      <c r="AH421" s="2" t="s">
        <v>174</v>
      </c>
      <c r="AI421" s="2" t="s">
        <v>27</v>
      </c>
      <c r="AJ421" s="23">
        <v>1</v>
      </c>
      <c r="AK421" s="23">
        <v>162</v>
      </c>
      <c r="AL421" s="23">
        <v>404</v>
      </c>
      <c r="AM421" s="24">
        <v>0.40099009900990101</v>
      </c>
      <c r="AN421" s="44" t="str">
        <f>VLOOKUP(flu_aw25[[#This Row],[trust_code]],trust_lookup[],3,0)</f>
        <v>T&amp;P</v>
      </c>
    </row>
    <row r="422" spans="1:40" x14ac:dyDescent="0.35">
      <c r="A422" s="2" t="s">
        <v>519</v>
      </c>
      <c r="B422" s="2" t="s">
        <v>130</v>
      </c>
      <c r="C422" s="2" t="s">
        <v>131</v>
      </c>
      <c r="D422" s="2" t="s">
        <v>192</v>
      </c>
      <c r="E422" s="2" t="s">
        <v>74</v>
      </c>
      <c r="F422" s="2">
        <v>47</v>
      </c>
      <c r="G422" s="2">
        <v>20</v>
      </c>
      <c r="H422" s="14" t="str">
        <f>VLOOKUP(flu_group[[#This Row],[trust_code]],trust_lookup[],3,0)</f>
        <v>LNW</v>
      </c>
      <c r="I422" s="14" t="str">
        <f>VLOOKUP(flu_group[[#This Row],[trust_code]],trust_lookup[],4,0)</f>
        <v>Acute</v>
      </c>
      <c r="K422" s="2" t="s">
        <v>518</v>
      </c>
      <c r="L422" s="2" t="s">
        <v>152</v>
      </c>
      <c r="M422" s="2" t="s">
        <v>153</v>
      </c>
      <c r="N422" s="2" t="s">
        <v>193</v>
      </c>
      <c r="O422" s="2" t="s">
        <v>100</v>
      </c>
      <c r="P422" s="2">
        <v>259</v>
      </c>
      <c r="R422" s="43">
        <v>45733</v>
      </c>
      <c r="S422" s="2">
        <v>12</v>
      </c>
      <c r="T422" s="2" t="s">
        <v>519</v>
      </c>
      <c r="U422" s="2" t="s">
        <v>118</v>
      </c>
      <c r="V422" s="2" t="s">
        <v>119</v>
      </c>
      <c r="W422" s="2" t="s">
        <v>193</v>
      </c>
      <c r="X422" s="23">
        <v>2</v>
      </c>
      <c r="Y422" s="23">
        <v>1928</v>
      </c>
      <c r="Z422" s="23">
        <v>6569</v>
      </c>
      <c r="AA422" s="24">
        <v>0.293499771654741</v>
      </c>
      <c r="AB422" s="14" t="str">
        <f>VLOOKUP(flu_aw24[[#This Row],[trust_code]],trust_lookup[],3,0)</f>
        <v>L&amp;G</v>
      </c>
      <c r="AD422" s="43">
        <v>46027</v>
      </c>
      <c r="AE422" s="2">
        <v>2</v>
      </c>
      <c r="AF422" s="2" t="s">
        <v>518</v>
      </c>
      <c r="AG422" s="2" t="s">
        <v>173</v>
      </c>
      <c r="AH422" s="2" t="s">
        <v>174</v>
      </c>
      <c r="AI422" s="2" t="s">
        <v>27</v>
      </c>
      <c r="AJ422" s="23">
        <v>2</v>
      </c>
      <c r="AK422" s="23">
        <v>164</v>
      </c>
      <c r="AL422" s="23">
        <v>404</v>
      </c>
      <c r="AM422" s="24">
        <v>0.40594059405940502</v>
      </c>
      <c r="AN422" s="44" t="str">
        <f>VLOOKUP(flu_aw25[[#This Row],[trust_code]],trust_lookup[],3,0)</f>
        <v>T&amp;P</v>
      </c>
    </row>
    <row r="423" spans="1:40" x14ac:dyDescent="0.35">
      <c r="A423" s="2" t="s">
        <v>519</v>
      </c>
      <c r="B423" s="2" t="s">
        <v>130</v>
      </c>
      <c r="C423" s="2" t="s">
        <v>131</v>
      </c>
      <c r="D423" s="2" t="s">
        <v>192</v>
      </c>
      <c r="E423" s="2" t="s">
        <v>42</v>
      </c>
      <c r="F423" s="2">
        <v>1209</v>
      </c>
      <c r="G423" s="2">
        <v>542</v>
      </c>
      <c r="H423" s="14" t="str">
        <f>VLOOKUP(flu_group[[#This Row],[trust_code]],trust_lookup[],3,0)</f>
        <v>LNW</v>
      </c>
      <c r="I423" s="14" t="str">
        <f>VLOOKUP(flu_group[[#This Row],[trust_code]],trust_lookup[],4,0)</f>
        <v>Acute</v>
      </c>
      <c r="K423" s="2" t="s">
        <v>518</v>
      </c>
      <c r="L423" s="2" t="s">
        <v>152</v>
      </c>
      <c r="M423" s="2" t="s">
        <v>153</v>
      </c>
      <c r="N423" s="2" t="s">
        <v>193</v>
      </c>
      <c r="O423" s="2" t="s">
        <v>75</v>
      </c>
      <c r="P423" s="2">
        <v>59</v>
      </c>
      <c r="R423" s="43">
        <v>45740</v>
      </c>
      <c r="S423" s="2">
        <v>13</v>
      </c>
      <c r="T423" s="2" t="s">
        <v>519</v>
      </c>
      <c r="U423" s="2" t="s">
        <v>118</v>
      </c>
      <c r="V423" s="2" t="s">
        <v>119</v>
      </c>
      <c r="W423" s="2" t="s">
        <v>193</v>
      </c>
      <c r="X423" s="23">
        <v>2</v>
      </c>
      <c r="Y423" s="23">
        <v>1930</v>
      </c>
      <c r="Z423" s="23">
        <v>6569</v>
      </c>
      <c r="AA423" s="24">
        <v>0.29380423199878197</v>
      </c>
      <c r="AB423" s="14" t="str">
        <f>VLOOKUP(flu_aw24[[#This Row],[trust_code]],trust_lookup[],3,0)</f>
        <v>L&amp;G</v>
      </c>
      <c r="AD423" s="43">
        <v>46034</v>
      </c>
      <c r="AE423" s="2">
        <v>3</v>
      </c>
      <c r="AF423" s="2" t="s">
        <v>518</v>
      </c>
      <c r="AG423" s="2" t="s">
        <v>173</v>
      </c>
      <c r="AH423" s="2" t="s">
        <v>174</v>
      </c>
      <c r="AI423" s="2" t="s">
        <v>27</v>
      </c>
      <c r="AJ423" s="23">
        <v>1</v>
      </c>
      <c r="AK423" s="23">
        <v>165</v>
      </c>
      <c r="AL423" s="23">
        <v>404</v>
      </c>
      <c r="AM423" s="24">
        <v>0.408415841584158</v>
      </c>
      <c r="AN423" s="44" t="str">
        <f>VLOOKUP(flu_aw25[[#This Row],[trust_code]],trust_lookup[],3,0)</f>
        <v>T&amp;P</v>
      </c>
    </row>
    <row r="424" spans="1:40" x14ac:dyDescent="0.35">
      <c r="A424" s="2" t="s">
        <v>519</v>
      </c>
      <c r="B424" s="2" t="s">
        <v>130</v>
      </c>
      <c r="C424" s="2" t="s">
        <v>131</v>
      </c>
      <c r="D424" s="2" t="s">
        <v>192</v>
      </c>
      <c r="E424" s="2" t="s">
        <v>53</v>
      </c>
      <c r="F424" s="2">
        <v>1786</v>
      </c>
      <c r="G424" s="2">
        <v>673</v>
      </c>
      <c r="H424" s="14" t="str">
        <f>VLOOKUP(flu_group[[#This Row],[trust_code]],trust_lookup[],3,0)</f>
        <v>LNW</v>
      </c>
      <c r="I424" s="14" t="str">
        <f>VLOOKUP(flu_group[[#This Row],[trust_code]],trust_lookup[],4,0)</f>
        <v>Acute</v>
      </c>
      <c r="K424" s="2" t="s">
        <v>518</v>
      </c>
      <c r="L424" s="2" t="s">
        <v>152</v>
      </c>
      <c r="M424" s="2" t="s">
        <v>153</v>
      </c>
      <c r="N424" s="2" t="s">
        <v>193</v>
      </c>
      <c r="O424" s="2" t="s">
        <v>106</v>
      </c>
      <c r="P424" s="2">
        <v>12</v>
      </c>
      <c r="R424" s="43">
        <v>45544</v>
      </c>
      <c r="S424" s="2">
        <v>37</v>
      </c>
      <c r="T424" s="2" t="s">
        <v>519</v>
      </c>
      <c r="U424" s="2" t="s">
        <v>124</v>
      </c>
      <c r="V424" s="2" t="s">
        <v>125</v>
      </c>
      <c r="W424" s="2" t="s">
        <v>192</v>
      </c>
      <c r="X424" s="23">
        <v>1</v>
      </c>
      <c r="Y424" s="23">
        <v>1</v>
      </c>
      <c r="Z424" s="23">
        <v>3747</v>
      </c>
      <c r="AA424" s="24">
        <v>2.6688017080330899E-4</v>
      </c>
      <c r="AB424" s="14" t="str">
        <f>VLOOKUP(flu_aw24[[#This Row],[trust_code]],trust_lookup[],3,0)</f>
        <v>LAS</v>
      </c>
      <c r="AD424" s="43">
        <v>46041</v>
      </c>
      <c r="AE424" s="2">
        <v>4</v>
      </c>
      <c r="AF424" s="2" t="s">
        <v>518</v>
      </c>
      <c r="AG424" s="2" t="s">
        <v>173</v>
      </c>
      <c r="AH424" s="2" t="s">
        <v>174</v>
      </c>
      <c r="AI424" s="2" t="s">
        <v>27</v>
      </c>
      <c r="AJ424" s="23">
        <v>2</v>
      </c>
      <c r="AK424" s="23">
        <v>167</v>
      </c>
      <c r="AL424" s="23">
        <v>404</v>
      </c>
      <c r="AM424" s="24">
        <v>0.41336633663366301</v>
      </c>
      <c r="AN424" s="44" t="str">
        <f>VLOOKUP(flu_aw25[[#This Row],[trust_code]],trust_lookup[],3,0)</f>
        <v>T&amp;P</v>
      </c>
    </row>
    <row r="425" spans="1:40" x14ac:dyDescent="0.35">
      <c r="A425" s="2" t="s">
        <v>519</v>
      </c>
      <c r="B425" s="2" t="s">
        <v>176</v>
      </c>
      <c r="C425" s="2" t="s">
        <v>177</v>
      </c>
      <c r="D425" s="2" t="s">
        <v>192</v>
      </c>
      <c r="E425" s="2" t="s">
        <v>67</v>
      </c>
      <c r="F425" s="2">
        <v>94</v>
      </c>
      <c r="G425" s="2">
        <v>26</v>
      </c>
      <c r="H425" s="14" t="str">
        <f>VLOOKUP(flu_group[[#This Row],[trust_code]],trust_lookup[],3,0)</f>
        <v>Hillingdon</v>
      </c>
      <c r="I425" s="14" t="str">
        <f>VLOOKUP(flu_group[[#This Row],[trust_code]],trust_lookup[],4,0)</f>
        <v>Acute</v>
      </c>
      <c r="K425" s="2" t="s">
        <v>518</v>
      </c>
      <c r="L425" s="2" t="s">
        <v>152</v>
      </c>
      <c r="M425" s="2" t="s">
        <v>153</v>
      </c>
      <c r="N425" s="2" t="s">
        <v>193</v>
      </c>
      <c r="O425" s="2" t="s">
        <v>112</v>
      </c>
      <c r="P425" s="2">
        <v>20</v>
      </c>
      <c r="R425" s="43">
        <v>45551</v>
      </c>
      <c r="S425" s="2">
        <v>38</v>
      </c>
      <c r="T425" s="2" t="s">
        <v>519</v>
      </c>
      <c r="U425" s="2" t="s">
        <v>124</v>
      </c>
      <c r="V425" s="2" t="s">
        <v>125</v>
      </c>
      <c r="W425" s="2" t="s">
        <v>192</v>
      </c>
      <c r="X425" s="23">
        <v>4</v>
      </c>
      <c r="Y425" s="23">
        <v>5</v>
      </c>
      <c r="Z425" s="23">
        <v>3747</v>
      </c>
      <c r="AA425" s="24">
        <v>1.3344008540165399E-3</v>
      </c>
      <c r="AB425" s="14" t="str">
        <f>VLOOKUP(flu_aw24[[#This Row],[trust_code]],trust_lookup[],3,0)</f>
        <v>LAS</v>
      </c>
      <c r="AD425" s="43">
        <v>46062</v>
      </c>
      <c r="AE425" s="2">
        <v>7</v>
      </c>
      <c r="AF425" s="2" t="s">
        <v>518</v>
      </c>
      <c r="AG425" s="2" t="s">
        <v>173</v>
      </c>
      <c r="AH425" s="2" t="s">
        <v>174</v>
      </c>
      <c r="AI425" s="2" t="s">
        <v>27</v>
      </c>
      <c r="AJ425" s="23">
        <v>1</v>
      </c>
      <c r="AK425" s="23">
        <v>168</v>
      </c>
      <c r="AL425" s="23">
        <v>404</v>
      </c>
      <c r="AM425" s="24">
        <v>0.41584158415841499</v>
      </c>
      <c r="AN425" s="44" t="str">
        <f>VLOOKUP(flu_aw25[[#This Row],[trust_code]],trust_lookup[],3,0)</f>
        <v>T&amp;P</v>
      </c>
    </row>
    <row r="426" spans="1:40" x14ac:dyDescent="0.35">
      <c r="A426" s="2" t="s">
        <v>519</v>
      </c>
      <c r="B426" s="2" t="s">
        <v>176</v>
      </c>
      <c r="C426" s="2" t="s">
        <v>177</v>
      </c>
      <c r="D426" s="2" t="s">
        <v>192</v>
      </c>
      <c r="E426" s="2" t="s">
        <v>81</v>
      </c>
      <c r="F426" s="2">
        <v>546</v>
      </c>
      <c r="G426" s="2">
        <v>167</v>
      </c>
      <c r="H426" s="14" t="str">
        <f>VLOOKUP(flu_group[[#This Row],[trust_code]],trust_lookup[],3,0)</f>
        <v>Hillingdon</v>
      </c>
      <c r="I426" s="14" t="str">
        <f>VLOOKUP(flu_group[[#This Row],[trust_code]],trust_lookup[],4,0)</f>
        <v>Acute</v>
      </c>
      <c r="K426" s="2" t="s">
        <v>518</v>
      </c>
      <c r="L426" s="2" t="s">
        <v>152</v>
      </c>
      <c r="M426" s="2" t="s">
        <v>153</v>
      </c>
      <c r="N426" s="2" t="s">
        <v>193</v>
      </c>
      <c r="O426" s="2" t="s">
        <v>36</v>
      </c>
      <c r="P426" s="2">
        <v>48</v>
      </c>
      <c r="R426" s="43">
        <v>45558</v>
      </c>
      <c r="S426" s="2">
        <v>39</v>
      </c>
      <c r="T426" s="2" t="s">
        <v>519</v>
      </c>
      <c r="U426" s="2" t="s">
        <v>124</v>
      </c>
      <c r="V426" s="2" t="s">
        <v>125</v>
      </c>
      <c r="W426" s="2" t="s">
        <v>192</v>
      </c>
      <c r="X426" s="23">
        <v>3</v>
      </c>
      <c r="Y426" s="23">
        <v>8</v>
      </c>
      <c r="Z426" s="23">
        <v>3747</v>
      </c>
      <c r="AA426" s="24">
        <v>2.1350413664264702E-3</v>
      </c>
      <c r="AB426" s="14" t="str">
        <f>VLOOKUP(flu_aw24[[#This Row],[trust_code]],trust_lookup[],3,0)</f>
        <v>LAS</v>
      </c>
      <c r="AD426" s="43">
        <v>45915</v>
      </c>
      <c r="AE426" s="2">
        <v>38</v>
      </c>
      <c r="AF426" s="2" t="s">
        <v>518</v>
      </c>
      <c r="AG426" s="2" t="s">
        <v>113</v>
      </c>
      <c r="AH426" s="2" t="s">
        <v>114</v>
      </c>
      <c r="AI426" s="2" t="s">
        <v>194</v>
      </c>
      <c r="AJ426" s="23">
        <v>1</v>
      </c>
      <c r="AK426" s="23">
        <v>1</v>
      </c>
      <c r="AL426" s="23">
        <v>3808</v>
      </c>
      <c r="AM426" s="24">
        <v>2.6260504201680601E-4</v>
      </c>
      <c r="AN426" s="44" t="str">
        <f>VLOOKUP(flu_aw25[[#This Row],[trust_code]],trust_lookup[],3,0)</f>
        <v>K&amp;R FT</v>
      </c>
    </row>
    <row r="427" spans="1:40" x14ac:dyDescent="0.35">
      <c r="A427" s="2" t="s">
        <v>519</v>
      </c>
      <c r="B427" s="2" t="s">
        <v>176</v>
      </c>
      <c r="C427" s="2" t="s">
        <v>177</v>
      </c>
      <c r="D427" s="2" t="s">
        <v>192</v>
      </c>
      <c r="E427" s="2" t="s">
        <v>46</v>
      </c>
      <c r="F427" s="2">
        <v>48</v>
      </c>
      <c r="G427" s="2">
        <v>18</v>
      </c>
      <c r="H427" s="14" t="str">
        <f>VLOOKUP(flu_group[[#This Row],[trust_code]],trust_lookup[],3,0)</f>
        <v>Hillingdon</v>
      </c>
      <c r="I427" s="14" t="str">
        <f>VLOOKUP(flu_group[[#This Row],[trust_code]],trust_lookup[],4,0)</f>
        <v>Acute</v>
      </c>
      <c r="K427" s="2" t="s">
        <v>518</v>
      </c>
      <c r="L427" s="2" t="s">
        <v>164</v>
      </c>
      <c r="M427" s="2" t="s">
        <v>165</v>
      </c>
      <c r="N427" s="2" t="s">
        <v>193</v>
      </c>
      <c r="O427" s="2" t="s">
        <v>68</v>
      </c>
      <c r="P427" s="2">
        <v>695</v>
      </c>
      <c r="R427" s="43">
        <v>45565</v>
      </c>
      <c r="S427" s="2">
        <v>40</v>
      </c>
      <c r="T427" s="2" t="s">
        <v>519</v>
      </c>
      <c r="U427" s="2" t="s">
        <v>124</v>
      </c>
      <c r="V427" s="2" t="s">
        <v>125</v>
      </c>
      <c r="W427" s="2" t="s">
        <v>192</v>
      </c>
      <c r="X427" s="23">
        <v>58</v>
      </c>
      <c r="Y427" s="23">
        <v>66</v>
      </c>
      <c r="Z427" s="23">
        <v>3747</v>
      </c>
      <c r="AA427" s="24">
        <v>1.7614091273018401E-2</v>
      </c>
      <c r="AB427" s="14" t="str">
        <f>VLOOKUP(flu_aw24[[#This Row],[trust_code]],trust_lookup[],3,0)</f>
        <v>LAS</v>
      </c>
      <c r="AD427" s="43">
        <v>45922</v>
      </c>
      <c r="AE427" s="2">
        <v>39</v>
      </c>
      <c r="AF427" s="2" t="s">
        <v>518</v>
      </c>
      <c r="AG427" s="2" t="s">
        <v>113</v>
      </c>
      <c r="AH427" s="2" t="s">
        <v>114</v>
      </c>
      <c r="AI427" s="2" t="s">
        <v>194</v>
      </c>
      <c r="AJ427" s="23">
        <v>1</v>
      </c>
      <c r="AK427" s="23">
        <v>2</v>
      </c>
      <c r="AL427" s="23">
        <v>3808</v>
      </c>
      <c r="AM427" s="24">
        <v>5.2521008403361299E-4</v>
      </c>
      <c r="AN427" s="44" t="str">
        <f>VLOOKUP(flu_aw25[[#This Row],[trust_code]],trust_lookup[],3,0)</f>
        <v>K&amp;R FT</v>
      </c>
    </row>
    <row r="428" spans="1:40" x14ac:dyDescent="0.35">
      <c r="A428" s="2" t="s">
        <v>519</v>
      </c>
      <c r="B428" s="2" t="s">
        <v>176</v>
      </c>
      <c r="C428" s="2" t="s">
        <v>177</v>
      </c>
      <c r="D428" s="2" t="s">
        <v>192</v>
      </c>
      <c r="E428" s="2" t="s">
        <v>60</v>
      </c>
      <c r="F428" s="2">
        <v>252</v>
      </c>
      <c r="G428" s="2">
        <v>56</v>
      </c>
      <c r="H428" s="14" t="str">
        <f>VLOOKUP(flu_group[[#This Row],[trust_code]],trust_lookup[],3,0)</f>
        <v>Hillingdon</v>
      </c>
      <c r="I428" s="14" t="str">
        <f>VLOOKUP(flu_group[[#This Row],[trust_code]],trust_lookup[],4,0)</f>
        <v>Acute</v>
      </c>
      <c r="K428" s="2" t="s">
        <v>518</v>
      </c>
      <c r="L428" s="2" t="s">
        <v>164</v>
      </c>
      <c r="M428" s="2" t="s">
        <v>165</v>
      </c>
      <c r="N428" s="2" t="s">
        <v>193</v>
      </c>
      <c r="O428" s="2" t="s">
        <v>135</v>
      </c>
      <c r="P428" s="2">
        <v>45</v>
      </c>
      <c r="R428" s="43">
        <v>45572</v>
      </c>
      <c r="S428" s="2">
        <v>41</v>
      </c>
      <c r="T428" s="2" t="s">
        <v>519</v>
      </c>
      <c r="U428" s="2" t="s">
        <v>124</v>
      </c>
      <c r="V428" s="2" t="s">
        <v>125</v>
      </c>
      <c r="W428" s="2" t="s">
        <v>192</v>
      </c>
      <c r="X428" s="23">
        <v>163</v>
      </c>
      <c r="Y428" s="23">
        <v>229</v>
      </c>
      <c r="Z428" s="23">
        <v>3747</v>
      </c>
      <c r="AA428" s="24">
        <v>6.1115559113957801E-2</v>
      </c>
      <c r="AB428" s="14" t="str">
        <f>VLOOKUP(flu_aw24[[#This Row],[trust_code]],trust_lookup[],3,0)</f>
        <v>LAS</v>
      </c>
      <c r="AD428" s="43">
        <v>45929</v>
      </c>
      <c r="AE428" s="2">
        <v>40</v>
      </c>
      <c r="AF428" s="2" t="s">
        <v>518</v>
      </c>
      <c r="AG428" s="2" t="s">
        <v>113</v>
      </c>
      <c r="AH428" s="2" t="s">
        <v>114</v>
      </c>
      <c r="AI428" s="2" t="s">
        <v>194</v>
      </c>
      <c r="AJ428" s="23">
        <v>243</v>
      </c>
      <c r="AK428" s="23">
        <v>245</v>
      </c>
      <c r="AL428" s="23">
        <v>3808</v>
      </c>
      <c r="AM428" s="24">
        <v>6.4338235294117599E-2</v>
      </c>
      <c r="AN428" s="44" t="str">
        <f>VLOOKUP(flu_aw25[[#This Row],[trust_code]],trust_lookup[],3,0)</f>
        <v>K&amp;R FT</v>
      </c>
    </row>
    <row r="429" spans="1:40" x14ac:dyDescent="0.35">
      <c r="A429" s="2" t="s">
        <v>519</v>
      </c>
      <c r="B429" s="2" t="s">
        <v>176</v>
      </c>
      <c r="C429" s="2" t="s">
        <v>177</v>
      </c>
      <c r="D429" s="2" t="s">
        <v>192</v>
      </c>
      <c r="E429" s="2" t="s">
        <v>28</v>
      </c>
      <c r="F429" s="2">
        <v>332</v>
      </c>
      <c r="G429" s="2">
        <v>123</v>
      </c>
      <c r="H429" s="14" t="str">
        <f>VLOOKUP(flu_group[[#This Row],[trust_code]],trust_lookup[],3,0)</f>
        <v>Hillingdon</v>
      </c>
      <c r="I429" s="14" t="str">
        <f>VLOOKUP(flu_group[[#This Row],[trust_code]],trust_lookup[],4,0)</f>
        <v>Acute</v>
      </c>
      <c r="K429" s="2" t="s">
        <v>518</v>
      </c>
      <c r="L429" s="2" t="s">
        <v>164</v>
      </c>
      <c r="M429" s="2" t="s">
        <v>165</v>
      </c>
      <c r="N429" s="2" t="s">
        <v>193</v>
      </c>
      <c r="O429" s="2" t="s">
        <v>54</v>
      </c>
      <c r="P429" s="2">
        <v>184</v>
      </c>
      <c r="R429" s="43">
        <v>45579</v>
      </c>
      <c r="S429" s="2">
        <v>42</v>
      </c>
      <c r="T429" s="2" t="s">
        <v>519</v>
      </c>
      <c r="U429" s="2" t="s">
        <v>124</v>
      </c>
      <c r="V429" s="2" t="s">
        <v>125</v>
      </c>
      <c r="W429" s="2" t="s">
        <v>192</v>
      </c>
      <c r="X429" s="23">
        <v>238</v>
      </c>
      <c r="Y429" s="23">
        <v>467</v>
      </c>
      <c r="Z429" s="23">
        <v>3747</v>
      </c>
      <c r="AA429" s="24">
        <v>0.124633039765145</v>
      </c>
      <c r="AB429" s="14" t="str">
        <f>VLOOKUP(flu_aw24[[#This Row],[trust_code]],trust_lookup[],3,0)</f>
        <v>LAS</v>
      </c>
      <c r="AD429" s="43">
        <v>45936</v>
      </c>
      <c r="AE429" s="2">
        <v>41</v>
      </c>
      <c r="AF429" s="2" t="s">
        <v>518</v>
      </c>
      <c r="AG429" s="2" t="s">
        <v>113</v>
      </c>
      <c r="AH429" s="2" t="s">
        <v>114</v>
      </c>
      <c r="AI429" s="2" t="s">
        <v>194</v>
      </c>
      <c r="AJ429" s="23">
        <v>306</v>
      </c>
      <c r="AK429" s="23">
        <v>551</v>
      </c>
      <c r="AL429" s="23">
        <v>3808</v>
      </c>
      <c r="AM429" s="24">
        <v>0.14469537815125999</v>
      </c>
      <c r="AN429" s="44" t="str">
        <f>VLOOKUP(flu_aw25[[#This Row],[trust_code]],trust_lookup[],3,0)</f>
        <v>K&amp;R FT</v>
      </c>
    </row>
    <row r="430" spans="1:40" x14ac:dyDescent="0.35">
      <c r="A430" s="2" t="s">
        <v>519</v>
      </c>
      <c r="B430" s="2" t="s">
        <v>176</v>
      </c>
      <c r="C430" s="2" t="s">
        <v>177</v>
      </c>
      <c r="D430" s="2" t="s">
        <v>192</v>
      </c>
      <c r="E430" s="2" t="s">
        <v>74</v>
      </c>
      <c r="F430" s="2">
        <v>30</v>
      </c>
      <c r="G430" s="2">
        <v>9</v>
      </c>
      <c r="H430" s="14" t="str">
        <f>VLOOKUP(flu_group[[#This Row],[trust_code]],trust_lookup[],3,0)</f>
        <v>Hillingdon</v>
      </c>
      <c r="I430" s="14" t="str">
        <f>VLOOKUP(flu_group[[#This Row],[trust_code]],trust_lookup[],4,0)</f>
        <v>Acute</v>
      </c>
      <c r="K430" s="2" t="s">
        <v>518</v>
      </c>
      <c r="L430" s="2" t="s">
        <v>164</v>
      </c>
      <c r="M430" s="2" t="s">
        <v>165</v>
      </c>
      <c r="N430" s="2" t="s">
        <v>193</v>
      </c>
      <c r="O430" s="2" t="s">
        <v>129</v>
      </c>
      <c r="P430" s="2">
        <v>9</v>
      </c>
      <c r="R430" s="43">
        <v>45586</v>
      </c>
      <c r="S430" s="2">
        <v>43</v>
      </c>
      <c r="T430" s="2" t="s">
        <v>519</v>
      </c>
      <c r="U430" s="2" t="s">
        <v>124</v>
      </c>
      <c r="V430" s="2" t="s">
        <v>125</v>
      </c>
      <c r="W430" s="2" t="s">
        <v>192</v>
      </c>
      <c r="X430" s="23">
        <v>179</v>
      </c>
      <c r="Y430" s="23">
        <v>646</v>
      </c>
      <c r="Z430" s="23">
        <v>3747</v>
      </c>
      <c r="AA430" s="24">
        <v>0.17240459033893701</v>
      </c>
      <c r="AB430" s="14" t="str">
        <f>VLOOKUP(flu_aw24[[#This Row],[trust_code]],trust_lookup[],3,0)</f>
        <v>LAS</v>
      </c>
      <c r="AD430" s="43">
        <v>45943</v>
      </c>
      <c r="AE430" s="2">
        <v>42</v>
      </c>
      <c r="AF430" s="2" t="s">
        <v>518</v>
      </c>
      <c r="AG430" s="2" t="s">
        <v>113</v>
      </c>
      <c r="AH430" s="2" t="s">
        <v>114</v>
      </c>
      <c r="AI430" s="2" t="s">
        <v>194</v>
      </c>
      <c r="AJ430" s="23">
        <v>233</v>
      </c>
      <c r="AK430" s="23">
        <v>784</v>
      </c>
      <c r="AL430" s="23">
        <v>3808</v>
      </c>
      <c r="AM430" s="24">
        <v>0.20588235294117599</v>
      </c>
      <c r="AN430" s="44" t="str">
        <f>VLOOKUP(flu_aw25[[#This Row],[trust_code]],trust_lookup[],3,0)</f>
        <v>K&amp;R FT</v>
      </c>
    </row>
    <row r="431" spans="1:40" x14ac:dyDescent="0.35">
      <c r="A431" s="2" t="s">
        <v>519</v>
      </c>
      <c r="B431" s="2" t="s">
        <v>176</v>
      </c>
      <c r="C431" s="2" t="s">
        <v>177</v>
      </c>
      <c r="D431" s="2" t="s">
        <v>192</v>
      </c>
      <c r="E431" s="2" t="s">
        <v>42</v>
      </c>
      <c r="F431" s="2">
        <v>670</v>
      </c>
      <c r="G431" s="2">
        <v>222</v>
      </c>
      <c r="H431" s="14" t="str">
        <f>VLOOKUP(flu_group[[#This Row],[trust_code]],trust_lookup[],3,0)</f>
        <v>Hillingdon</v>
      </c>
      <c r="I431" s="14" t="str">
        <f>VLOOKUP(flu_group[[#This Row],[trust_code]],trust_lookup[],4,0)</f>
        <v>Acute</v>
      </c>
      <c r="K431" s="2" t="s">
        <v>518</v>
      </c>
      <c r="L431" s="2" t="s">
        <v>164</v>
      </c>
      <c r="M431" s="2" t="s">
        <v>165</v>
      </c>
      <c r="N431" s="2" t="s">
        <v>193</v>
      </c>
      <c r="O431" s="2" t="s">
        <v>47</v>
      </c>
      <c r="P431" s="2">
        <v>18</v>
      </c>
      <c r="R431" s="43">
        <v>45593</v>
      </c>
      <c r="S431" s="2">
        <v>44</v>
      </c>
      <c r="T431" s="2" t="s">
        <v>519</v>
      </c>
      <c r="U431" s="2" t="s">
        <v>124</v>
      </c>
      <c r="V431" s="2" t="s">
        <v>125</v>
      </c>
      <c r="W431" s="2" t="s">
        <v>192</v>
      </c>
      <c r="X431" s="23">
        <v>141</v>
      </c>
      <c r="Y431" s="23">
        <v>787</v>
      </c>
      <c r="Z431" s="23">
        <v>3747</v>
      </c>
      <c r="AA431" s="24">
        <v>0.21003469442220399</v>
      </c>
      <c r="AB431" s="14" t="str">
        <f>VLOOKUP(flu_aw24[[#This Row],[trust_code]],trust_lookup[],3,0)</f>
        <v>LAS</v>
      </c>
      <c r="AD431" s="43">
        <v>45950</v>
      </c>
      <c r="AE431" s="2">
        <v>43</v>
      </c>
      <c r="AF431" s="2" t="s">
        <v>518</v>
      </c>
      <c r="AG431" s="2" t="s">
        <v>113</v>
      </c>
      <c r="AH431" s="2" t="s">
        <v>114</v>
      </c>
      <c r="AI431" s="2" t="s">
        <v>194</v>
      </c>
      <c r="AJ431" s="23">
        <v>198</v>
      </c>
      <c r="AK431" s="23">
        <v>982</v>
      </c>
      <c r="AL431" s="23">
        <v>3808</v>
      </c>
      <c r="AM431" s="24">
        <v>0.25787815126050401</v>
      </c>
      <c r="AN431" s="44" t="str">
        <f>VLOOKUP(flu_aw25[[#This Row],[trust_code]],trust_lookup[],3,0)</f>
        <v>K&amp;R FT</v>
      </c>
    </row>
    <row r="432" spans="1:40" x14ac:dyDescent="0.35">
      <c r="A432" s="2" t="s">
        <v>519</v>
      </c>
      <c r="B432" s="2" t="s">
        <v>176</v>
      </c>
      <c r="C432" s="2" t="s">
        <v>177</v>
      </c>
      <c r="D432" s="2" t="s">
        <v>192</v>
      </c>
      <c r="E432" s="2" t="s">
        <v>53</v>
      </c>
      <c r="F432" s="2">
        <v>1074</v>
      </c>
      <c r="G432" s="2">
        <v>291</v>
      </c>
      <c r="H432" s="14" t="str">
        <f>VLOOKUP(flu_group[[#This Row],[trust_code]],trust_lookup[],3,0)</f>
        <v>Hillingdon</v>
      </c>
      <c r="I432" s="14" t="str">
        <f>VLOOKUP(flu_group[[#This Row],[trust_code]],trust_lookup[],4,0)</f>
        <v>Acute</v>
      </c>
      <c r="K432" s="2" t="s">
        <v>518</v>
      </c>
      <c r="L432" s="2" t="s">
        <v>164</v>
      </c>
      <c r="M432" s="2" t="s">
        <v>165</v>
      </c>
      <c r="N432" s="2" t="s">
        <v>193</v>
      </c>
      <c r="O432" s="2" t="s">
        <v>94</v>
      </c>
      <c r="P432" s="2">
        <v>7</v>
      </c>
      <c r="R432" s="43">
        <v>45600</v>
      </c>
      <c r="S432" s="2">
        <v>45</v>
      </c>
      <c r="T432" s="2" t="s">
        <v>519</v>
      </c>
      <c r="U432" s="2" t="s">
        <v>124</v>
      </c>
      <c r="V432" s="2" t="s">
        <v>125</v>
      </c>
      <c r="W432" s="2" t="s">
        <v>192</v>
      </c>
      <c r="X432" s="23">
        <v>166</v>
      </c>
      <c r="Y432" s="23">
        <v>953</v>
      </c>
      <c r="Z432" s="23">
        <v>3747</v>
      </c>
      <c r="AA432" s="24">
        <v>0.25433680277555298</v>
      </c>
      <c r="AB432" s="14" t="str">
        <f>VLOOKUP(flu_aw24[[#This Row],[trust_code]],trust_lookup[],3,0)</f>
        <v>LAS</v>
      </c>
      <c r="AD432" s="43">
        <v>45957</v>
      </c>
      <c r="AE432" s="2">
        <v>44</v>
      </c>
      <c r="AF432" s="2" t="s">
        <v>518</v>
      </c>
      <c r="AG432" s="2" t="s">
        <v>113</v>
      </c>
      <c r="AH432" s="2" t="s">
        <v>114</v>
      </c>
      <c r="AI432" s="2" t="s">
        <v>194</v>
      </c>
      <c r="AJ432" s="23">
        <v>167</v>
      </c>
      <c r="AK432" s="23">
        <v>1149</v>
      </c>
      <c r="AL432" s="23">
        <v>3808</v>
      </c>
      <c r="AM432" s="24">
        <v>0.30173319327731002</v>
      </c>
      <c r="AN432" s="44" t="str">
        <f>VLOOKUP(flu_aw25[[#This Row],[trust_code]],trust_lookup[],3,0)</f>
        <v>K&amp;R FT</v>
      </c>
    </row>
    <row r="433" spans="1:40" x14ac:dyDescent="0.35">
      <c r="A433" s="2" t="s">
        <v>519</v>
      </c>
      <c r="B433" s="2" t="s">
        <v>187</v>
      </c>
      <c r="C433" s="2" t="s">
        <v>188</v>
      </c>
      <c r="D433" s="2" t="s">
        <v>192</v>
      </c>
      <c r="E433" s="2" t="s">
        <v>67</v>
      </c>
      <c r="F433" s="2">
        <v>575</v>
      </c>
      <c r="G433" s="2">
        <v>164</v>
      </c>
      <c r="H433" s="14" t="str">
        <f>VLOOKUP(flu_group[[#This Row],[trust_code]],trust_lookup[],3,0)</f>
        <v>West London</v>
      </c>
      <c r="I433" s="14" t="str">
        <f>VLOOKUP(flu_group[[#This Row],[trust_code]],trust_lookup[],4,0)</f>
        <v>Mental Health &amp; Community</v>
      </c>
      <c r="K433" s="2" t="s">
        <v>518</v>
      </c>
      <c r="L433" s="2" t="s">
        <v>164</v>
      </c>
      <c r="M433" s="2" t="s">
        <v>165</v>
      </c>
      <c r="N433" s="2" t="s">
        <v>193</v>
      </c>
      <c r="O433" s="2" t="s">
        <v>29</v>
      </c>
      <c r="P433" s="2">
        <v>21</v>
      </c>
      <c r="R433" s="43">
        <v>45607</v>
      </c>
      <c r="S433" s="2">
        <v>46</v>
      </c>
      <c r="T433" s="2" t="s">
        <v>519</v>
      </c>
      <c r="U433" s="2" t="s">
        <v>124</v>
      </c>
      <c r="V433" s="2" t="s">
        <v>125</v>
      </c>
      <c r="W433" s="2" t="s">
        <v>192</v>
      </c>
      <c r="X433" s="23">
        <v>114</v>
      </c>
      <c r="Y433" s="23">
        <v>1067</v>
      </c>
      <c r="Z433" s="23">
        <v>3747</v>
      </c>
      <c r="AA433" s="24">
        <v>0.284761142247131</v>
      </c>
      <c r="AB433" s="14" t="str">
        <f>VLOOKUP(flu_aw24[[#This Row],[trust_code]],trust_lookup[],3,0)</f>
        <v>LAS</v>
      </c>
      <c r="AD433" s="43">
        <v>45964</v>
      </c>
      <c r="AE433" s="2">
        <v>45</v>
      </c>
      <c r="AF433" s="2" t="s">
        <v>518</v>
      </c>
      <c r="AG433" s="2" t="s">
        <v>113</v>
      </c>
      <c r="AH433" s="2" t="s">
        <v>114</v>
      </c>
      <c r="AI433" s="2" t="s">
        <v>194</v>
      </c>
      <c r="AJ433" s="23">
        <v>140</v>
      </c>
      <c r="AK433" s="23">
        <v>1289</v>
      </c>
      <c r="AL433" s="23">
        <v>3808</v>
      </c>
      <c r="AM433" s="24">
        <v>0.338497899159663</v>
      </c>
      <c r="AN433" s="44" t="str">
        <f>VLOOKUP(flu_aw25[[#This Row],[trust_code]],trust_lookup[],3,0)</f>
        <v>K&amp;R FT</v>
      </c>
    </row>
    <row r="434" spans="1:40" x14ac:dyDescent="0.35">
      <c r="A434" s="2" t="s">
        <v>519</v>
      </c>
      <c r="B434" s="2" t="s">
        <v>187</v>
      </c>
      <c r="C434" s="2" t="s">
        <v>188</v>
      </c>
      <c r="D434" s="2" t="s">
        <v>192</v>
      </c>
      <c r="E434" s="2" t="s">
        <v>81</v>
      </c>
      <c r="F434" s="2">
        <v>1340</v>
      </c>
      <c r="G434" s="2">
        <v>332</v>
      </c>
      <c r="H434" s="14" t="str">
        <f>VLOOKUP(flu_group[[#This Row],[trust_code]],trust_lookup[],3,0)</f>
        <v>West London</v>
      </c>
      <c r="I434" s="14" t="str">
        <f>VLOOKUP(flu_group[[#This Row],[trust_code]],trust_lookup[],4,0)</f>
        <v>Mental Health &amp; Community</v>
      </c>
      <c r="K434" s="2" t="s">
        <v>518</v>
      </c>
      <c r="L434" s="2" t="s">
        <v>164</v>
      </c>
      <c r="M434" s="2" t="s">
        <v>165</v>
      </c>
      <c r="N434" s="2" t="s">
        <v>193</v>
      </c>
      <c r="O434" s="2" t="s">
        <v>123</v>
      </c>
      <c r="P434" s="2">
        <v>54</v>
      </c>
      <c r="R434" s="43">
        <v>45614</v>
      </c>
      <c r="S434" s="2">
        <v>47</v>
      </c>
      <c r="T434" s="2" t="s">
        <v>519</v>
      </c>
      <c r="U434" s="2" t="s">
        <v>124</v>
      </c>
      <c r="V434" s="2" t="s">
        <v>125</v>
      </c>
      <c r="W434" s="2" t="s">
        <v>192</v>
      </c>
      <c r="X434" s="23">
        <v>125</v>
      </c>
      <c r="Y434" s="23">
        <v>1192</v>
      </c>
      <c r="Z434" s="23">
        <v>3747</v>
      </c>
      <c r="AA434" s="24">
        <v>0.318121163597544</v>
      </c>
      <c r="AB434" s="14" t="str">
        <f>VLOOKUP(flu_aw24[[#This Row],[trust_code]],trust_lookup[],3,0)</f>
        <v>LAS</v>
      </c>
      <c r="AD434" s="43">
        <v>45971</v>
      </c>
      <c r="AE434" s="2">
        <v>46</v>
      </c>
      <c r="AF434" s="2" t="s">
        <v>518</v>
      </c>
      <c r="AG434" s="2" t="s">
        <v>113</v>
      </c>
      <c r="AH434" s="2" t="s">
        <v>114</v>
      </c>
      <c r="AI434" s="2" t="s">
        <v>194</v>
      </c>
      <c r="AJ434" s="23">
        <v>125</v>
      </c>
      <c r="AK434" s="23">
        <v>1414</v>
      </c>
      <c r="AL434" s="23">
        <v>3808</v>
      </c>
      <c r="AM434" s="24">
        <v>0.371323529411764</v>
      </c>
      <c r="AN434" s="44" t="str">
        <f>VLOOKUP(flu_aw25[[#This Row],[trust_code]],trust_lookup[],3,0)</f>
        <v>K&amp;R FT</v>
      </c>
    </row>
    <row r="435" spans="1:40" x14ac:dyDescent="0.35">
      <c r="A435" s="2" t="s">
        <v>519</v>
      </c>
      <c r="B435" s="2" t="s">
        <v>187</v>
      </c>
      <c r="C435" s="2" t="s">
        <v>188</v>
      </c>
      <c r="D435" s="2" t="s">
        <v>192</v>
      </c>
      <c r="E435" s="2" t="s">
        <v>46</v>
      </c>
      <c r="F435" s="2">
        <v>31</v>
      </c>
      <c r="G435" s="2">
        <v>4</v>
      </c>
      <c r="H435" s="14" t="str">
        <f>VLOOKUP(flu_group[[#This Row],[trust_code]],trust_lookup[],3,0)</f>
        <v>West London</v>
      </c>
      <c r="I435" s="14" t="str">
        <f>VLOOKUP(flu_group[[#This Row],[trust_code]],trust_lookup[],4,0)</f>
        <v>Mental Health &amp; Community</v>
      </c>
      <c r="K435" s="2" t="s">
        <v>518</v>
      </c>
      <c r="L435" s="2" t="s">
        <v>164</v>
      </c>
      <c r="M435" s="2" t="s">
        <v>165</v>
      </c>
      <c r="N435" s="2" t="s">
        <v>193</v>
      </c>
      <c r="O435" s="2" t="s">
        <v>82</v>
      </c>
      <c r="P435" s="2">
        <v>9</v>
      </c>
      <c r="R435" s="43">
        <v>45621</v>
      </c>
      <c r="S435" s="2">
        <v>48</v>
      </c>
      <c r="T435" s="2" t="s">
        <v>519</v>
      </c>
      <c r="U435" s="2" t="s">
        <v>124</v>
      </c>
      <c r="V435" s="2" t="s">
        <v>125</v>
      </c>
      <c r="W435" s="2" t="s">
        <v>192</v>
      </c>
      <c r="X435" s="23">
        <v>85</v>
      </c>
      <c r="Y435" s="23">
        <v>1277</v>
      </c>
      <c r="Z435" s="23">
        <v>3747</v>
      </c>
      <c r="AA435" s="24">
        <v>0.34080597811582503</v>
      </c>
      <c r="AB435" s="14" t="str">
        <f>VLOOKUP(flu_aw24[[#This Row],[trust_code]],trust_lookup[],3,0)</f>
        <v>LAS</v>
      </c>
      <c r="AD435" s="43">
        <v>45978</v>
      </c>
      <c r="AE435" s="2">
        <v>47</v>
      </c>
      <c r="AF435" s="2" t="s">
        <v>518</v>
      </c>
      <c r="AG435" s="2" t="s">
        <v>113</v>
      </c>
      <c r="AH435" s="2" t="s">
        <v>114</v>
      </c>
      <c r="AI435" s="2" t="s">
        <v>194</v>
      </c>
      <c r="AJ435" s="23">
        <v>74</v>
      </c>
      <c r="AK435" s="23">
        <v>1488</v>
      </c>
      <c r="AL435" s="23">
        <v>3808</v>
      </c>
      <c r="AM435" s="24">
        <v>0.39075630252100801</v>
      </c>
      <c r="AN435" s="44" t="str">
        <f>VLOOKUP(flu_aw25[[#This Row],[trust_code]],trust_lookup[],3,0)</f>
        <v>K&amp;R FT</v>
      </c>
    </row>
    <row r="436" spans="1:40" x14ac:dyDescent="0.35">
      <c r="A436" s="2" t="s">
        <v>519</v>
      </c>
      <c r="B436" s="2" t="s">
        <v>187</v>
      </c>
      <c r="C436" s="2" t="s">
        <v>188</v>
      </c>
      <c r="D436" s="2" t="s">
        <v>192</v>
      </c>
      <c r="E436" s="2" t="s">
        <v>60</v>
      </c>
      <c r="F436" s="2">
        <v>382</v>
      </c>
      <c r="G436" s="2">
        <v>117</v>
      </c>
      <c r="H436" s="14" t="str">
        <f>VLOOKUP(flu_group[[#This Row],[trust_code]],trust_lookup[],3,0)</f>
        <v>West London</v>
      </c>
      <c r="I436" s="14" t="str">
        <f>VLOOKUP(flu_group[[#This Row],[trust_code]],trust_lookup[],4,0)</f>
        <v>Mental Health &amp; Community</v>
      </c>
      <c r="K436" s="2" t="s">
        <v>518</v>
      </c>
      <c r="L436" s="2" t="s">
        <v>164</v>
      </c>
      <c r="M436" s="2" t="s">
        <v>165</v>
      </c>
      <c r="N436" s="2" t="s">
        <v>193</v>
      </c>
      <c r="O436" s="2" t="s">
        <v>88</v>
      </c>
      <c r="P436" s="2">
        <v>5</v>
      </c>
      <c r="R436" s="43">
        <v>45628</v>
      </c>
      <c r="S436" s="2">
        <v>49</v>
      </c>
      <c r="T436" s="2" t="s">
        <v>519</v>
      </c>
      <c r="U436" s="2" t="s">
        <v>124</v>
      </c>
      <c r="V436" s="2" t="s">
        <v>125</v>
      </c>
      <c r="W436" s="2" t="s">
        <v>192</v>
      </c>
      <c r="X436" s="23">
        <v>60</v>
      </c>
      <c r="Y436" s="23">
        <v>1337</v>
      </c>
      <c r="Z436" s="23">
        <v>3747</v>
      </c>
      <c r="AA436" s="24">
        <v>0.35681878836402398</v>
      </c>
      <c r="AB436" s="14" t="str">
        <f>VLOOKUP(flu_aw24[[#This Row],[trust_code]],trust_lookup[],3,0)</f>
        <v>LAS</v>
      </c>
      <c r="AD436" s="43">
        <v>45985</v>
      </c>
      <c r="AE436" s="2">
        <v>48</v>
      </c>
      <c r="AF436" s="2" t="s">
        <v>518</v>
      </c>
      <c r="AG436" s="2" t="s">
        <v>113</v>
      </c>
      <c r="AH436" s="2" t="s">
        <v>114</v>
      </c>
      <c r="AI436" s="2" t="s">
        <v>194</v>
      </c>
      <c r="AJ436" s="23">
        <v>97</v>
      </c>
      <c r="AK436" s="23">
        <v>1585</v>
      </c>
      <c r="AL436" s="23">
        <v>3808</v>
      </c>
      <c r="AM436" s="24">
        <v>0.41622899159663801</v>
      </c>
      <c r="AN436" s="44" t="str">
        <f>VLOOKUP(flu_aw25[[#This Row],[trust_code]],trust_lookup[],3,0)</f>
        <v>K&amp;R FT</v>
      </c>
    </row>
    <row r="437" spans="1:40" x14ac:dyDescent="0.35">
      <c r="A437" s="2" t="s">
        <v>519</v>
      </c>
      <c r="B437" s="2" t="s">
        <v>187</v>
      </c>
      <c r="C437" s="2" t="s">
        <v>188</v>
      </c>
      <c r="D437" s="2" t="s">
        <v>192</v>
      </c>
      <c r="E437" s="2" t="s">
        <v>28</v>
      </c>
      <c r="F437" s="2">
        <v>264</v>
      </c>
      <c r="G437" s="2">
        <v>92</v>
      </c>
      <c r="H437" s="14" t="str">
        <f>VLOOKUP(flu_group[[#This Row],[trust_code]],trust_lookup[],3,0)</f>
        <v>West London</v>
      </c>
      <c r="I437" s="14" t="str">
        <f>VLOOKUP(flu_group[[#This Row],[trust_code]],trust_lookup[],4,0)</f>
        <v>Mental Health &amp; Community</v>
      </c>
      <c r="K437" s="2" t="s">
        <v>518</v>
      </c>
      <c r="L437" s="2" t="s">
        <v>164</v>
      </c>
      <c r="M437" s="2" t="s">
        <v>165</v>
      </c>
      <c r="N437" s="2" t="s">
        <v>193</v>
      </c>
      <c r="O437" s="2" t="s">
        <v>141</v>
      </c>
      <c r="P437" s="2">
        <v>48</v>
      </c>
      <c r="R437" s="43">
        <v>45635</v>
      </c>
      <c r="S437" s="2">
        <v>50</v>
      </c>
      <c r="T437" s="2" t="s">
        <v>519</v>
      </c>
      <c r="U437" s="2" t="s">
        <v>124</v>
      </c>
      <c r="V437" s="2" t="s">
        <v>125</v>
      </c>
      <c r="W437" s="2" t="s">
        <v>192</v>
      </c>
      <c r="X437" s="23">
        <v>66</v>
      </c>
      <c r="Y437" s="23">
        <v>1403</v>
      </c>
      <c r="Z437" s="23">
        <v>3747</v>
      </c>
      <c r="AA437" s="24">
        <v>0.37443287963704203</v>
      </c>
      <c r="AB437" s="14" t="str">
        <f>VLOOKUP(flu_aw24[[#This Row],[trust_code]],trust_lookup[],3,0)</f>
        <v>LAS</v>
      </c>
      <c r="AD437" s="43">
        <v>45992</v>
      </c>
      <c r="AE437" s="2">
        <v>49</v>
      </c>
      <c r="AF437" s="2" t="s">
        <v>518</v>
      </c>
      <c r="AG437" s="2" t="s">
        <v>113</v>
      </c>
      <c r="AH437" s="2" t="s">
        <v>114</v>
      </c>
      <c r="AI437" s="2" t="s">
        <v>194</v>
      </c>
      <c r="AJ437" s="23">
        <v>33</v>
      </c>
      <c r="AK437" s="23">
        <v>1618</v>
      </c>
      <c r="AL437" s="23">
        <v>3808</v>
      </c>
      <c r="AM437" s="24">
        <v>0.42489495798319299</v>
      </c>
      <c r="AN437" s="44" t="str">
        <f>VLOOKUP(flu_aw25[[#This Row],[trust_code]],trust_lookup[],3,0)</f>
        <v>K&amp;R FT</v>
      </c>
    </row>
    <row r="438" spans="1:40" x14ac:dyDescent="0.35">
      <c r="A438" s="2" t="s">
        <v>519</v>
      </c>
      <c r="B438" s="2" t="s">
        <v>187</v>
      </c>
      <c r="C438" s="2" t="s">
        <v>188</v>
      </c>
      <c r="D438" s="2" t="s">
        <v>192</v>
      </c>
      <c r="E438" s="2" t="s">
        <v>42</v>
      </c>
      <c r="F438" s="2">
        <v>313</v>
      </c>
      <c r="G438" s="2">
        <v>122</v>
      </c>
      <c r="H438" s="14" t="str">
        <f>VLOOKUP(flu_group[[#This Row],[trust_code]],trust_lookup[],3,0)</f>
        <v>West London</v>
      </c>
      <c r="I438" s="14" t="str">
        <f>VLOOKUP(flu_group[[#This Row],[trust_code]],trust_lookup[],4,0)</f>
        <v>Mental Health &amp; Community</v>
      </c>
      <c r="K438" s="2" t="s">
        <v>518</v>
      </c>
      <c r="L438" s="2" t="s">
        <v>164</v>
      </c>
      <c r="M438" s="2" t="s">
        <v>165</v>
      </c>
      <c r="N438" s="2" t="s">
        <v>193</v>
      </c>
      <c r="O438" s="2" t="s">
        <v>61</v>
      </c>
      <c r="P438" s="2">
        <v>25</v>
      </c>
      <c r="R438" s="43">
        <v>45642</v>
      </c>
      <c r="S438" s="2">
        <v>51</v>
      </c>
      <c r="T438" s="2" t="s">
        <v>519</v>
      </c>
      <c r="U438" s="2" t="s">
        <v>124</v>
      </c>
      <c r="V438" s="2" t="s">
        <v>125</v>
      </c>
      <c r="W438" s="2" t="s">
        <v>192</v>
      </c>
      <c r="X438" s="23">
        <v>33</v>
      </c>
      <c r="Y438" s="23">
        <v>1436</v>
      </c>
      <c r="Z438" s="23">
        <v>3747</v>
      </c>
      <c r="AA438" s="24">
        <v>0.383239925273552</v>
      </c>
      <c r="AB438" s="14" t="str">
        <f>VLOOKUP(flu_aw24[[#This Row],[trust_code]],trust_lookup[],3,0)</f>
        <v>LAS</v>
      </c>
      <c r="AD438" s="43">
        <v>45999</v>
      </c>
      <c r="AE438" s="2">
        <v>50</v>
      </c>
      <c r="AF438" s="2" t="s">
        <v>518</v>
      </c>
      <c r="AG438" s="2" t="s">
        <v>113</v>
      </c>
      <c r="AH438" s="2" t="s">
        <v>114</v>
      </c>
      <c r="AI438" s="2" t="s">
        <v>194</v>
      </c>
      <c r="AJ438" s="23">
        <v>63</v>
      </c>
      <c r="AK438" s="23">
        <v>1681</v>
      </c>
      <c r="AL438" s="23">
        <v>3808</v>
      </c>
      <c r="AM438" s="24">
        <v>0.44143907563025198</v>
      </c>
      <c r="AN438" s="44" t="str">
        <f>VLOOKUP(flu_aw25[[#This Row],[trust_code]],trust_lookup[],3,0)</f>
        <v>K&amp;R FT</v>
      </c>
    </row>
    <row r="439" spans="1:40" x14ac:dyDescent="0.35">
      <c r="A439" s="2" t="s">
        <v>519</v>
      </c>
      <c r="B439" s="2" t="s">
        <v>187</v>
      </c>
      <c r="C439" s="2" t="s">
        <v>188</v>
      </c>
      <c r="D439" s="2" t="s">
        <v>192</v>
      </c>
      <c r="E439" s="2" t="s">
        <v>53</v>
      </c>
      <c r="F439" s="2">
        <v>1338</v>
      </c>
      <c r="G439" s="2">
        <v>414</v>
      </c>
      <c r="H439" s="14" t="str">
        <f>VLOOKUP(flu_group[[#This Row],[trust_code]],trust_lookup[],3,0)</f>
        <v>West London</v>
      </c>
      <c r="I439" s="14" t="str">
        <f>VLOOKUP(flu_group[[#This Row],[trust_code]],trust_lookup[],4,0)</f>
        <v>Mental Health &amp; Community</v>
      </c>
      <c r="K439" s="2" t="s">
        <v>518</v>
      </c>
      <c r="L439" s="2" t="s">
        <v>164</v>
      </c>
      <c r="M439" s="2" t="s">
        <v>165</v>
      </c>
      <c r="N439" s="2" t="s">
        <v>193</v>
      </c>
      <c r="O439" s="2" t="s">
        <v>100</v>
      </c>
      <c r="P439" s="2">
        <v>270</v>
      </c>
      <c r="R439" s="43">
        <v>45649</v>
      </c>
      <c r="S439" s="2">
        <v>52</v>
      </c>
      <c r="T439" s="2" t="s">
        <v>519</v>
      </c>
      <c r="U439" s="2" t="s">
        <v>124</v>
      </c>
      <c r="V439" s="2" t="s">
        <v>125</v>
      </c>
      <c r="W439" s="2" t="s">
        <v>192</v>
      </c>
      <c r="X439" s="23">
        <v>3</v>
      </c>
      <c r="Y439" s="23">
        <v>1439</v>
      </c>
      <c r="Z439" s="23">
        <v>3747</v>
      </c>
      <c r="AA439" s="24">
        <v>0.38404056578596202</v>
      </c>
      <c r="AB439" s="14" t="str">
        <f>VLOOKUP(flu_aw24[[#This Row],[trust_code]],trust_lookup[],3,0)</f>
        <v>LAS</v>
      </c>
      <c r="AD439" s="43">
        <v>46006</v>
      </c>
      <c r="AE439" s="2">
        <v>51</v>
      </c>
      <c r="AF439" s="2" t="s">
        <v>518</v>
      </c>
      <c r="AG439" s="2" t="s">
        <v>113</v>
      </c>
      <c r="AH439" s="2" t="s">
        <v>114</v>
      </c>
      <c r="AI439" s="2" t="s">
        <v>194</v>
      </c>
      <c r="AJ439" s="23">
        <v>40</v>
      </c>
      <c r="AK439" s="23">
        <v>1721</v>
      </c>
      <c r="AL439" s="23">
        <v>3808</v>
      </c>
      <c r="AM439" s="24">
        <v>0.45194327731092399</v>
      </c>
      <c r="AN439" s="44" t="str">
        <f>VLOOKUP(flu_aw25[[#This Row],[trust_code]],trust_lookup[],3,0)</f>
        <v>K&amp;R FT</v>
      </c>
    </row>
    <row r="440" spans="1:40" x14ac:dyDescent="0.35">
      <c r="A440" s="2" t="s">
        <v>519</v>
      </c>
      <c r="B440" s="2" t="s">
        <v>187</v>
      </c>
      <c r="C440" s="2" t="s">
        <v>188</v>
      </c>
      <c r="D440" s="2" t="s">
        <v>192</v>
      </c>
      <c r="E440" s="2" t="s">
        <v>35</v>
      </c>
      <c r="F440" s="2">
        <v>9</v>
      </c>
      <c r="G440" s="2">
        <v>2</v>
      </c>
      <c r="H440" s="14" t="str">
        <f>VLOOKUP(flu_group[[#This Row],[trust_code]],trust_lookup[],3,0)</f>
        <v>West London</v>
      </c>
      <c r="I440" s="14" t="str">
        <f>VLOOKUP(flu_group[[#This Row],[trust_code]],trust_lookup[],4,0)</f>
        <v>Mental Health &amp; Community</v>
      </c>
      <c r="K440" s="2" t="s">
        <v>518</v>
      </c>
      <c r="L440" s="2" t="s">
        <v>164</v>
      </c>
      <c r="M440" s="2" t="s">
        <v>165</v>
      </c>
      <c r="N440" s="2" t="s">
        <v>193</v>
      </c>
      <c r="O440" s="2" t="s">
        <v>75</v>
      </c>
      <c r="P440" s="2">
        <v>67</v>
      </c>
      <c r="R440" s="43">
        <v>45656</v>
      </c>
      <c r="S440" s="2">
        <v>1</v>
      </c>
      <c r="T440" s="2" t="s">
        <v>519</v>
      </c>
      <c r="U440" s="2" t="s">
        <v>124</v>
      </c>
      <c r="V440" s="2" t="s">
        <v>125</v>
      </c>
      <c r="W440" s="2" t="s">
        <v>192</v>
      </c>
      <c r="X440" s="23">
        <v>22</v>
      </c>
      <c r="Y440" s="23">
        <v>1461</v>
      </c>
      <c r="Z440" s="23">
        <v>3747</v>
      </c>
      <c r="AA440" s="24">
        <v>0.38991192954363402</v>
      </c>
      <c r="AB440" s="14" t="str">
        <f>VLOOKUP(flu_aw24[[#This Row],[trust_code]],trust_lookup[],3,0)</f>
        <v>LAS</v>
      </c>
      <c r="AD440" s="43">
        <v>46013</v>
      </c>
      <c r="AE440" s="2">
        <v>52</v>
      </c>
      <c r="AF440" s="2" t="s">
        <v>518</v>
      </c>
      <c r="AG440" s="2" t="s">
        <v>113</v>
      </c>
      <c r="AH440" s="2" t="s">
        <v>114</v>
      </c>
      <c r="AI440" s="2" t="s">
        <v>194</v>
      </c>
      <c r="AJ440" s="23">
        <v>5</v>
      </c>
      <c r="AK440" s="23">
        <v>1726</v>
      </c>
      <c r="AL440" s="23">
        <v>3808</v>
      </c>
      <c r="AM440" s="24">
        <v>0.45325630252100801</v>
      </c>
      <c r="AN440" s="44" t="str">
        <f>VLOOKUP(flu_aw25[[#This Row],[trust_code]],trust_lookup[],3,0)</f>
        <v>K&amp;R FT</v>
      </c>
    </row>
    <row r="441" spans="1:40" x14ac:dyDescent="0.35">
      <c r="A441" s="2" t="s">
        <v>519</v>
      </c>
      <c r="B441" s="2" t="s">
        <v>89</v>
      </c>
      <c r="C441" s="2" t="s">
        <v>90</v>
      </c>
      <c r="D441" s="2" t="s">
        <v>193</v>
      </c>
      <c r="E441" s="2" t="s">
        <v>67</v>
      </c>
      <c r="F441" s="2">
        <v>1083</v>
      </c>
      <c r="G441" s="2">
        <v>368</v>
      </c>
      <c r="H441" s="14" t="str">
        <f>VLOOKUP(flu_group[[#This Row],[trust_code]],trust_lookup[],3,0)</f>
        <v>GSTT</v>
      </c>
      <c r="I441" s="14" t="str">
        <f>VLOOKUP(flu_group[[#This Row],[trust_code]],trust_lookup[],4,0)</f>
        <v>Acute</v>
      </c>
      <c r="K441" s="2" t="s">
        <v>518</v>
      </c>
      <c r="L441" s="2" t="s">
        <v>164</v>
      </c>
      <c r="M441" s="2" t="s">
        <v>165</v>
      </c>
      <c r="N441" s="2" t="s">
        <v>193</v>
      </c>
      <c r="O441" s="2" t="s">
        <v>106</v>
      </c>
      <c r="P441" s="2">
        <v>24</v>
      </c>
      <c r="R441" s="43">
        <v>45663</v>
      </c>
      <c r="S441" s="2">
        <v>2</v>
      </c>
      <c r="T441" s="2" t="s">
        <v>519</v>
      </c>
      <c r="U441" s="2" t="s">
        <v>124</v>
      </c>
      <c r="V441" s="2" t="s">
        <v>125</v>
      </c>
      <c r="W441" s="2" t="s">
        <v>192</v>
      </c>
      <c r="X441" s="23">
        <v>33</v>
      </c>
      <c r="Y441" s="23">
        <v>1494</v>
      </c>
      <c r="Z441" s="23">
        <v>3747</v>
      </c>
      <c r="AA441" s="24">
        <v>0.39871897518014399</v>
      </c>
      <c r="AB441" s="14" t="str">
        <f>VLOOKUP(flu_aw24[[#This Row],[trust_code]],trust_lookup[],3,0)</f>
        <v>LAS</v>
      </c>
      <c r="AD441" s="43">
        <v>46020</v>
      </c>
      <c r="AE441" s="2">
        <v>1</v>
      </c>
      <c r="AF441" s="2" t="s">
        <v>518</v>
      </c>
      <c r="AG441" s="2" t="s">
        <v>113</v>
      </c>
      <c r="AH441" s="2" t="s">
        <v>114</v>
      </c>
      <c r="AI441" s="2" t="s">
        <v>194</v>
      </c>
      <c r="AJ441" s="23">
        <v>8</v>
      </c>
      <c r="AK441" s="23">
        <v>1734</v>
      </c>
      <c r="AL441" s="23">
        <v>3808</v>
      </c>
      <c r="AM441" s="24">
        <v>0.45535714285714202</v>
      </c>
      <c r="AN441" s="44" t="str">
        <f>VLOOKUP(flu_aw25[[#This Row],[trust_code]],trust_lookup[],3,0)</f>
        <v>K&amp;R FT</v>
      </c>
    </row>
    <row r="442" spans="1:40" x14ac:dyDescent="0.35">
      <c r="A442" s="2" t="s">
        <v>519</v>
      </c>
      <c r="B442" s="2" t="s">
        <v>89</v>
      </c>
      <c r="C442" s="2" t="s">
        <v>90</v>
      </c>
      <c r="D442" s="2" t="s">
        <v>193</v>
      </c>
      <c r="E442" s="2" t="s">
        <v>81</v>
      </c>
      <c r="F442" s="2">
        <v>2099</v>
      </c>
      <c r="G442" s="2">
        <v>477</v>
      </c>
      <c r="H442" s="14" t="str">
        <f>VLOOKUP(flu_group[[#This Row],[trust_code]],trust_lookup[],3,0)</f>
        <v>GSTT</v>
      </c>
      <c r="I442" s="14" t="str">
        <f>VLOOKUP(flu_group[[#This Row],[trust_code]],trust_lookup[],4,0)</f>
        <v>Acute</v>
      </c>
      <c r="K442" s="2" t="s">
        <v>518</v>
      </c>
      <c r="L442" s="2" t="s">
        <v>164</v>
      </c>
      <c r="M442" s="2" t="s">
        <v>165</v>
      </c>
      <c r="N442" s="2" t="s">
        <v>193</v>
      </c>
      <c r="O442" s="2" t="s">
        <v>112</v>
      </c>
      <c r="P442" s="2">
        <v>53</v>
      </c>
      <c r="R442" s="43">
        <v>45670</v>
      </c>
      <c r="S442" s="2">
        <v>3</v>
      </c>
      <c r="T442" s="2" t="s">
        <v>519</v>
      </c>
      <c r="U442" s="2" t="s">
        <v>124</v>
      </c>
      <c r="V442" s="2" t="s">
        <v>125</v>
      </c>
      <c r="W442" s="2" t="s">
        <v>192</v>
      </c>
      <c r="X442" s="23">
        <v>6</v>
      </c>
      <c r="Y442" s="23">
        <v>1500</v>
      </c>
      <c r="Z442" s="23">
        <v>3747</v>
      </c>
      <c r="AA442" s="24">
        <v>0.40032025620496398</v>
      </c>
      <c r="AB442" s="14" t="str">
        <f>VLOOKUP(flu_aw24[[#This Row],[trust_code]],trust_lookup[],3,0)</f>
        <v>LAS</v>
      </c>
      <c r="AD442" s="43">
        <v>46027</v>
      </c>
      <c r="AE442" s="2">
        <v>2</v>
      </c>
      <c r="AF442" s="2" t="s">
        <v>518</v>
      </c>
      <c r="AG442" s="2" t="s">
        <v>113</v>
      </c>
      <c r="AH442" s="2" t="s">
        <v>114</v>
      </c>
      <c r="AI442" s="2" t="s">
        <v>194</v>
      </c>
      <c r="AJ442" s="23">
        <v>5</v>
      </c>
      <c r="AK442" s="23">
        <v>1739</v>
      </c>
      <c r="AL442" s="23">
        <v>3808</v>
      </c>
      <c r="AM442" s="24">
        <v>0.45667016806722599</v>
      </c>
      <c r="AN442" s="44" t="str">
        <f>VLOOKUP(flu_aw25[[#This Row],[trust_code]],trust_lookup[],3,0)</f>
        <v>K&amp;R FT</v>
      </c>
    </row>
    <row r="443" spans="1:40" x14ac:dyDescent="0.35">
      <c r="A443" s="2" t="s">
        <v>519</v>
      </c>
      <c r="B443" s="2" t="s">
        <v>89</v>
      </c>
      <c r="C443" s="2" t="s">
        <v>90</v>
      </c>
      <c r="D443" s="2" t="s">
        <v>193</v>
      </c>
      <c r="E443" s="2" t="s">
        <v>46</v>
      </c>
      <c r="F443" s="2">
        <v>56</v>
      </c>
      <c r="G443" s="2">
        <v>25</v>
      </c>
      <c r="H443" s="14" t="str">
        <f>VLOOKUP(flu_group[[#This Row],[trust_code]],trust_lookup[],3,0)</f>
        <v>GSTT</v>
      </c>
      <c r="I443" s="14" t="str">
        <f>VLOOKUP(flu_group[[#This Row],[trust_code]],trust_lookup[],4,0)</f>
        <v>Acute</v>
      </c>
      <c r="K443" s="2" t="s">
        <v>518</v>
      </c>
      <c r="L443" s="2" t="s">
        <v>164</v>
      </c>
      <c r="M443" s="2" t="s">
        <v>165</v>
      </c>
      <c r="N443" s="2" t="s">
        <v>193</v>
      </c>
      <c r="O443" s="2" t="s">
        <v>36</v>
      </c>
      <c r="P443" s="2">
        <v>71</v>
      </c>
      <c r="R443" s="43">
        <v>45677</v>
      </c>
      <c r="S443" s="2">
        <v>4</v>
      </c>
      <c r="T443" s="2" t="s">
        <v>519</v>
      </c>
      <c r="U443" s="2" t="s">
        <v>124</v>
      </c>
      <c r="V443" s="2" t="s">
        <v>125</v>
      </c>
      <c r="W443" s="2" t="s">
        <v>192</v>
      </c>
      <c r="X443" s="23">
        <v>17</v>
      </c>
      <c r="Y443" s="23">
        <v>1517</v>
      </c>
      <c r="Z443" s="23">
        <v>3747</v>
      </c>
      <c r="AA443" s="24">
        <v>0.40485721910861999</v>
      </c>
      <c r="AB443" s="14" t="str">
        <f>VLOOKUP(flu_aw24[[#This Row],[trust_code]],trust_lookup[],3,0)</f>
        <v>LAS</v>
      </c>
      <c r="AD443" s="43">
        <v>46034</v>
      </c>
      <c r="AE443" s="2">
        <v>3</v>
      </c>
      <c r="AF443" s="2" t="s">
        <v>518</v>
      </c>
      <c r="AG443" s="2" t="s">
        <v>113</v>
      </c>
      <c r="AH443" s="2" t="s">
        <v>114</v>
      </c>
      <c r="AI443" s="2" t="s">
        <v>194</v>
      </c>
      <c r="AJ443" s="23">
        <v>7</v>
      </c>
      <c r="AK443" s="23">
        <v>1746</v>
      </c>
      <c r="AL443" s="23">
        <v>3808</v>
      </c>
      <c r="AM443" s="24">
        <v>0.45850840336134402</v>
      </c>
      <c r="AN443" s="44" t="str">
        <f>VLOOKUP(flu_aw25[[#This Row],[trust_code]],trust_lookup[],3,0)</f>
        <v>K&amp;R FT</v>
      </c>
    </row>
    <row r="444" spans="1:40" x14ac:dyDescent="0.35">
      <c r="A444" s="2" t="s">
        <v>519</v>
      </c>
      <c r="B444" s="2" t="s">
        <v>89</v>
      </c>
      <c r="C444" s="2" t="s">
        <v>90</v>
      </c>
      <c r="D444" s="2" t="s">
        <v>193</v>
      </c>
      <c r="E444" s="2" t="s">
        <v>60</v>
      </c>
      <c r="F444" s="2">
        <v>1395</v>
      </c>
      <c r="G444" s="2">
        <v>603</v>
      </c>
      <c r="H444" s="14" t="str">
        <f>VLOOKUP(flu_group[[#This Row],[trust_code]],trust_lookup[],3,0)</f>
        <v>GSTT</v>
      </c>
      <c r="I444" s="14" t="str">
        <f>VLOOKUP(flu_group[[#This Row],[trust_code]],trust_lookup[],4,0)</f>
        <v>Acute</v>
      </c>
      <c r="K444" s="2" t="s">
        <v>518</v>
      </c>
      <c r="L444" s="2" t="s">
        <v>62</v>
      </c>
      <c r="M444" s="2" t="s">
        <v>63</v>
      </c>
      <c r="N444" s="2" t="s">
        <v>194</v>
      </c>
      <c r="O444" s="2" t="s">
        <v>68</v>
      </c>
      <c r="P444" s="2">
        <v>396</v>
      </c>
      <c r="R444" s="43">
        <v>45684</v>
      </c>
      <c r="S444" s="2">
        <v>5</v>
      </c>
      <c r="T444" s="2" t="s">
        <v>519</v>
      </c>
      <c r="U444" s="2" t="s">
        <v>124</v>
      </c>
      <c r="V444" s="2" t="s">
        <v>125</v>
      </c>
      <c r="W444" s="2" t="s">
        <v>192</v>
      </c>
      <c r="X444" s="23">
        <v>6</v>
      </c>
      <c r="Y444" s="23">
        <v>1523</v>
      </c>
      <c r="Z444" s="23">
        <v>3747</v>
      </c>
      <c r="AA444" s="24">
        <v>0.40645850013343998</v>
      </c>
      <c r="AB444" s="14" t="str">
        <f>VLOOKUP(flu_aw24[[#This Row],[trust_code]],trust_lookup[],3,0)</f>
        <v>LAS</v>
      </c>
      <c r="AD444" s="43">
        <v>46041</v>
      </c>
      <c r="AE444" s="2">
        <v>4</v>
      </c>
      <c r="AF444" s="2" t="s">
        <v>518</v>
      </c>
      <c r="AG444" s="2" t="s">
        <v>113</v>
      </c>
      <c r="AH444" s="2" t="s">
        <v>114</v>
      </c>
      <c r="AI444" s="2" t="s">
        <v>194</v>
      </c>
      <c r="AJ444" s="23">
        <v>7</v>
      </c>
      <c r="AK444" s="23">
        <v>1753</v>
      </c>
      <c r="AL444" s="23">
        <v>3808</v>
      </c>
      <c r="AM444" s="24">
        <v>0.46034663865546199</v>
      </c>
      <c r="AN444" s="44" t="str">
        <f>VLOOKUP(flu_aw25[[#This Row],[trust_code]],trust_lookup[],3,0)</f>
        <v>K&amp;R FT</v>
      </c>
    </row>
    <row r="445" spans="1:40" x14ac:dyDescent="0.35">
      <c r="A445" s="2" t="s">
        <v>519</v>
      </c>
      <c r="B445" s="2" t="s">
        <v>89</v>
      </c>
      <c r="C445" s="2" t="s">
        <v>90</v>
      </c>
      <c r="D445" s="2" t="s">
        <v>193</v>
      </c>
      <c r="E445" s="2" t="s">
        <v>28</v>
      </c>
      <c r="F445" s="2">
        <v>1400</v>
      </c>
      <c r="G445" s="2">
        <v>318</v>
      </c>
      <c r="H445" s="14" t="str">
        <f>VLOOKUP(flu_group[[#This Row],[trust_code]],trust_lookup[],3,0)</f>
        <v>GSTT</v>
      </c>
      <c r="I445" s="14" t="str">
        <f>VLOOKUP(flu_group[[#This Row],[trust_code]],trust_lookup[],4,0)</f>
        <v>Acute</v>
      </c>
      <c r="K445" s="2" t="s">
        <v>518</v>
      </c>
      <c r="L445" s="2" t="s">
        <v>62</v>
      </c>
      <c r="M445" s="2" t="s">
        <v>63</v>
      </c>
      <c r="N445" s="2" t="s">
        <v>194</v>
      </c>
      <c r="O445" s="2" t="s">
        <v>135</v>
      </c>
      <c r="P445" s="2">
        <v>21</v>
      </c>
      <c r="R445" s="43">
        <v>45691</v>
      </c>
      <c r="S445" s="2">
        <v>6</v>
      </c>
      <c r="T445" s="2" t="s">
        <v>519</v>
      </c>
      <c r="U445" s="2" t="s">
        <v>124</v>
      </c>
      <c r="V445" s="2" t="s">
        <v>125</v>
      </c>
      <c r="W445" s="2" t="s">
        <v>192</v>
      </c>
      <c r="X445" s="23">
        <v>3</v>
      </c>
      <c r="Y445" s="23">
        <v>1526</v>
      </c>
      <c r="Z445" s="23">
        <v>3747</v>
      </c>
      <c r="AA445" s="24">
        <v>0.40725914064585</v>
      </c>
      <c r="AB445" s="14" t="str">
        <f>VLOOKUP(flu_aw24[[#This Row],[trust_code]],trust_lookup[],3,0)</f>
        <v>LAS</v>
      </c>
      <c r="AD445" s="43">
        <v>46048</v>
      </c>
      <c r="AE445" s="2">
        <v>5</v>
      </c>
      <c r="AF445" s="2" t="s">
        <v>518</v>
      </c>
      <c r="AG445" s="2" t="s">
        <v>113</v>
      </c>
      <c r="AH445" s="2" t="s">
        <v>114</v>
      </c>
      <c r="AI445" s="2" t="s">
        <v>194</v>
      </c>
      <c r="AJ445" s="23">
        <v>9</v>
      </c>
      <c r="AK445" s="23">
        <v>1762</v>
      </c>
      <c r="AL445" s="23">
        <v>3808</v>
      </c>
      <c r="AM445" s="24">
        <v>0.46271008403361302</v>
      </c>
      <c r="AN445" s="44" t="str">
        <f>VLOOKUP(flu_aw25[[#This Row],[trust_code]],trust_lookup[],3,0)</f>
        <v>K&amp;R FT</v>
      </c>
    </row>
    <row r="446" spans="1:40" x14ac:dyDescent="0.35">
      <c r="A446" s="2" t="s">
        <v>519</v>
      </c>
      <c r="B446" s="2" t="s">
        <v>89</v>
      </c>
      <c r="C446" s="2" t="s">
        <v>90</v>
      </c>
      <c r="D446" s="2" t="s">
        <v>193</v>
      </c>
      <c r="E446" s="2" t="s">
        <v>74</v>
      </c>
      <c r="F446" s="2">
        <v>879</v>
      </c>
      <c r="G446" s="2">
        <v>317</v>
      </c>
      <c r="H446" s="14" t="str">
        <f>VLOOKUP(flu_group[[#This Row],[trust_code]],trust_lookup[],3,0)</f>
        <v>GSTT</v>
      </c>
      <c r="I446" s="14" t="str">
        <f>VLOOKUP(flu_group[[#This Row],[trust_code]],trust_lookup[],4,0)</f>
        <v>Acute</v>
      </c>
      <c r="K446" s="2" t="s">
        <v>518</v>
      </c>
      <c r="L446" s="2" t="s">
        <v>62</v>
      </c>
      <c r="M446" s="2" t="s">
        <v>63</v>
      </c>
      <c r="N446" s="2" t="s">
        <v>194</v>
      </c>
      <c r="O446" s="2" t="s">
        <v>54</v>
      </c>
      <c r="P446" s="2">
        <v>101</v>
      </c>
      <c r="R446" s="43">
        <v>45698</v>
      </c>
      <c r="S446" s="2">
        <v>7</v>
      </c>
      <c r="T446" s="2" t="s">
        <v>519</v>
      </c>
      <c r="U446" s="2" t="s">
        <v>124</v>
      </c>
      <c r="V446" s="2" t="s">
        <v>125</v>
      </c>
      <c r="W446" s="2" t="s">
        <v>192</v>
      </c>
      <c r="X446" s="23">
        <v>2</v>
      </c>
      <c r="Y446" s="23">
        <v>1528</v>
      </c>
      <c r="Z446" s="23">
        <v>3747</v>
      </c>
      <c r="AA446" s="24">
        <v>0.40779290098745602</v>
      </c>
      <c r="AB446" s="14" t="str">
        <f>VLOOKUP(flu_aw24[[#This Row],[trust_code]],trust_lookup[],3,0)</f>
        <v>LAS</v>
      </c>
      <c r="AD446" s="43">
        <v>46055</v>
      </c>
      <c r="AE446" s="2">
        <v>6</v>
      </c>
      <c r="AF446" s="2" t="s">
        <v>518</v>
      </c>
      <c r="AG446" s="2" t="s">
        <v>113</v>
      </c>
      <c r="AH446" s="2" t="s">
        <v>114</v>
      </c>
      <c r="AI446" s="2" t="s">
        <v>194</v>
      </c>
      <c r="AJ446" s="23">
        <v>2</v>
      </c>
      <c r="AK446" s="23">
        <v>1764</v>
      </c>
      <c r="AL446" s="23">
        <v>3808</v>
      </c>
      <c r="AM446" s="24">
        <v>0.46323529411764702</v>
      </c>
      <c r="AN446" s="44" t="str">
        <f>VLOOKUP(flu_aw25[[#This Row],[trust_code]],trust_lookup[],3,0)</f>
        <v>K&amp;R FT</v>
      </c>
    </row>
    <row r="447" spans="1:40" x14ac:dyDescent="0.35">
      <c r="A447" s="2" t="s">
        <v>519</v>
      </c>
      <c r="B447" s="2" t="s">
        <v>89</v>
      </c>
      <c r="C447" s="2" t="s">
        <v>90</v>
      </c>
      <c r="D447" s="2" t="s">
        <v>193</v>
      </c>
      <c r="E447" s="2" t="s">
        <v>42</v>
      </c>
      <c r="F447" s="2">
        <v>4001</v>
      </c>
      <c r="G447" s="2">
        <v>1769</v>
      </c>
      <c r="H447" s="14" t="str">
        <f>VLOOKUP(flu_group[[#This Row],[trust_code]],trust_lookup[],3,0)</f>
        <v>GSTT</v>
      </c>
      <c r="I447" s="14" t="str">
        <f>VLOOKUP(flu_group[[#This Row],[trust_code]],trust_lookup[],4,0)</f>
        <v>Acute</v>
      </c>
      <c r="K447" s="2" t="s">
        <v>518</v>
      </c>
      <c r="L447" s="2" t="s">
        <v>62</v>
      </c>
      <c r="M447" s="2" t="s">
        <v>63</v>
      </c>
      <c r="N447" s="2" t="s">
        <v>194</v>
      </c>
      <c r="O447" s="2" t="s">
        <v>129</v>
      </c>
      <c r="P447" s="2">
        <v>4</v>
      </c>
      <c r="R447" s="43">
        <v>45705</v>
      </c>
      <c r="S447" s="2">
        <v>8</v>
      </c>
      <c r="T447" s="2" t="s">
        <v>519</v>
      </c>
      <c r="U447" s="2" t="s">
        <v>124</v>
      </c>
      <c r="V447" s="2" t="s">
        <v>125</v>
      </c>
      <c r="W447" s="2" t="s">
        <v>192</v>
      </c>
      <c r="X447" s="23">
        <v>1</v>
      </c>
      <c r="Y447" s="23">
        <v>1529</v>
      </c>
      <c r="Z447" s="23">
        <v>3747</v>
      </c>
      <c r="AA447" s="24">
        <v>0.40805978115825903</v>
      </c>
      <c r="AB447" s="14" t="str">
        <f>VLOOKUP(flu_aw24[[#This Row],[trust_code]],trust_lookup[],3,0)</f>
        <v>LAS</v>
      </c>
      <c r="AD447" s="43">
        <v>46076</v>
      </c>
      <c r="AE447" s="2">
        <v>9</v>
      </c>
      <c r="AF447" s="2" t="s">
        <v>518</v>
      </c>
      <c r="AG447" s="2" t="s">
        <v>113</v>
      </c>
      <c r="AH447" s="2" t="s">
        <v>114</v>
      </c>
      <c r="AI447" s="2" t="s">
        <v>194</v>
      </c>
      <c r="AJ447" s="23">
        <v>2</v>
      </c>
      <c r="AK447" s="23">
        <v>1766</v>
      </c>
      <c r="AL447" s="23">
        <v>3808</v>
      </c>
      <c r="AM447" s="24">
        <v>0.46376050420168002</v>
      </c>
      <c r="AN447" s="44" t="str">
        <f>VLOOKUP(flu_aw25[[#This Row],[trust_code]],trust_lookup[],3,0)</f>
        <v>K&amp;R FT</v>
      </c>
    </row>
    <row r="448" spans="1:40" x14ac:dyDescent="0.35">
      <c r="A448" s="2" t="s">
        <v>519</v>
      </c>
      <c r="B448" s="2" t="s">
        <v>89</v>
      </c>
      <c r="C448" s="2" t="s">
        <v>90</v>
      </c>
      <c r="D448" s="2" t="s">
        <v>193</v>
      </c>
      <c r="E448" s="2" t="s">
        <v>53</v>
      </c>
      <c r="F448" s="2">
        <v>6220</v>
      </c>
      <c r="G448" s="2">
        <v>2077</v>
      </c>
      <c r="H448" s="14" t="str">
        <f>VLOOKUP(flu_group[[#This Row],[trust_code]],trust_lookup[],3,0)</f>
        <v>GSTT</v>
      </c>
      <c r="I448" s="14" t="str">
        <f>VLOOKUP(flu_group[[#This Row],[trust_code]],trust_lookup[],4,0)</f>
        <v>Acute</v>
      </c>
      <c r="K448" s="2" t="s">
        <v>518</v>
      </c>
      <c r="L448" s="2" t="s">
        <v>62</v>
      </c>
      <c r="M448" s="2" t="s">
        <v>63</v>
      </c>
      <c r="N448" s="2" t="s">
        <v>194</v>
      </c>
      <c r="O448" s="2" t="s">
        <v>47</v>
      </c>
      <c r="P448" s="2">
        <v>7</v>
      </c>
      <c r="R448" s="43">
        <v>45712</v>
      </c>
      <c r="S448" s="2">
        <v>9</v>
      </c>
      <c r="T448" s="2" t="s">
        <v>519</v>
      </c>
      <c r="U448" s="2" t="s">
        <v>124</v>
      </c>
      <c r="V448" s="2" t="s">
        <v>125</v>
      </c>
      <c r="W448" s="2" t="s">
        <v>192</v>
      </c>
      <c r="X448" s="23">
        <v>1</v>
      </c>
      <c r="Y448" s="23">
        <v>1530</v>
      </c>
      <c r="Z448" s="23">
        <v>3747</v>
      </c>
      <c r="AA448" s="24">
        <v>0.40832666132906298</v>
      </c>
      <c r="AB448" s="14" t="str">
        <f>VLOOKUP(flu_aw24[[#This Row],[trust_code]],trust_lookup[],3,0)</f>
        <v>LAS</v>
      </c>
      <c r="AD448" s="43">
        <v>45915</v>
      </c>
      <c r="AE448" s="2">
        <v>38</v>
      </c>
      <c r="AF448" s="2" t="s">
        <v>518</v>
      </c>
      <c r="AG448" s="2" t="s">
        <v>130</v>
      </c>
      <c r="AH448" s="2" t="s">
        <v>131</v>
      </c>
      <c r="AI448" s="2" t="s">
        <v>192</v>
      </c>
      <c r="AJ448" s="23">
        <v>224</v>
      </c>
      <c r="AK448" s="23">
        <v>224</v>
      </c>
      <c r="AL448" s="23">
        <v>4229</v>
      </c>
      <c r="AM448" s="24">
        <v>5.2967604634665398E-2</v>
      </c>
      <c r="AN448" s="44" t="str">
        <f>VLOOKUP(flu_aw25[[#This Row],[trust_code]],trust_lookup[],3,0)</f>
        <v>LNW</v>
      </c>
    </row>
    <row r="449" spans="1:40" x14ac:dyDescent="0.35">
      <c r="A449" s="2" t="s">
        <v>519</v>
      </c>
      <c r="B449" s="2" t="s">
        <v>89</v>
      </c>
      <c r="C449" s="2" t="s">
        <v>90</v>
      </c>
      <c r="D449" s="2" t="s">
        <v>193</v>
      </c>
      <c r="E449" s="2" t="s">
        <v>35</v>
      </c>
      <c r="F449" s="2">
        <v>15</v>
      </c>
      <c r="G449" s="2">
        <v>1</v>
      </c>
      <c r="H449" s="14" t="str">
        <f>VLOOKUP(flu_group[[#This Row],[trust_code]],trust_lookup[],3,0)</f>
        <v>GSTT</v>
      </c>
      <c r="I449" s="14" t="str">
        <f>VLOOKUP(flu_group[[#This Row],[trust_code]],trust_lookup[],4,0)</f>
        <v>Acute</v>
      </c>
      <c r="K449" s="2" t="s">
        <v>518</v>
      </c>
      <c r="L449" s="2" t="s">
        <v>62</v>
      </c>
      <c r="M449" s="2" t="s">
        <v>63</v>
      </c>
      <c r="N449" s="2" t="s">
        <v>194</v>
      </c>
      <c r="O449" s="2" t="s">
        <v>94</v>
      </c>
      <c r="P449" s="2">
        <v>10</v>
      </c>
      <c r="R449" s="43">
        <v>45726</v>
      </c>
      <c r="S449" s="2">
        <v>11</v>
      </c>
      <c r="T449" s="2" t="s">
        <v>519</v>
      </c>
      <c r="U449" s="2" t="s">
        <v>124</v>
      </c>
      <c r="V449" s="2" t="s">
        <v>125</v>
      </c>
      <c r="W449" s="2" t="s">
        <v>192</v>
      </c>
      <c r="X449" s="23">
        <v>2</v>
      </c>
      <c r="Y449" s="23">
        <v>1532</v>
      </c>
      <c r="Z449" s="23">
        <v>3747</v>
      </c>
      <c r="AA449" s="24">
        <v>0.40886042167066899</v>
      </c>
      <c r="AB449" s="14" t="str">
        <f>VLOOKUP(flu_aw24[[#This Row],[trust_code]],trust_lookup[],3,0)</f>
        <v>LAS</v>
      </c>
      <c r="AD449" s="43">
        <v>45922</v>
      </c>
      <c r="AE449" s="2">
        <v>39</v>
      </c>
      <c r="AF449" s="2" t="s">
        <v>518</v>
      </c>
      <c r="AG449" s="2" t="s">
        <v>130</v>
      </c>
      <c r="AH449" s="2" t="s">
        <v>131</v>
      </c>
      <c r="AI449" s="2" t="s">
        <v>192</v>
      </c>
      <c r="AJ449" s="23">
        <v>138</v>
      </c>
      <c r="AK449" s="23">
        <v>362</v>
      </c>
      <c r="AL449" s="23">
        <v>4229</v>
      </c>
      <c r="AM449" s="24">
        <v>8.5599432489950306E-2</v>
      </c>
      <c r="AN449" s="44" t="str">
        <f>VLOOKUP(flu_aw25[[#This Row],[trust_code]],trust_lookup[],3,0)</f>
        <v>LNW</v>
      </c>
    </row>
    <row r="450" spans="1:40" x14ac:dyDescent="0.35">
      <c r="A450" s="2" t="s">
        <v>519</v>
      </c>
      <c r="B450" s="2" t="s">
        <v>107</v>
      </c>
      <c r="C450" s="2" t="s">
        <v>108</v>
      </c>
      <c r="D450" s="2" t="s">
        <v>193</v>
      </c>
      <c r="E450" s="2" t="s">
        <v>67</v>
      </c>
      <c r="F450" s="2">
        <v>437</v>
      </c>
      <c r="G450" s="2">
        <v>180</v>
      </c>
      <c r="H450" s="14" t="str">
        <f>VLOOKUP(flu_group[[#This Row],[trust_code]],trust_lookup[],3,0)</f>
        <v>King's</v>
      </c>
      <c r="I450" s="14" t="str">
        <f>VLOOKUP(flu_group[[#This Row],[trust_code]],trust_lookup[],4,0)</f>
        <v>Acute</v>
      </c>
      <c r="K450" s="2" t="s">
        <v>518</v>
      </c>
      <c r="L450" s="2" t="s">
        <v>62</v>
      </c>
      <c r="M450" s="2" t="s">
        <v>63</v>
      </c>
      <c r="N450" s="2" t="s">
        <v>194</v>
      </c>
      <c r="O450" s="2" t="s">
        <v>29</v>
      </c>
      <c r="P450" s="2">
        <v>34</v>
      </c>
      <c r="R450" s="43">
        <v>45537</v>
      </c>
      <c r="S450" s="2">
        <v>36</v>
      </c>
      <c r="T450" s="2" t="s">
        <v>519</v>
      </c>
      <c r="U450" s="2" t="s">
        <v>130</v>
      </c>
      <c r="V450" s="2" t="s">
        <v>131</v>
      </c>
      <c r="W450" s="2" t="s">
        <v>192</v>
      </c>
      <c r="X450" s="23">
        <v>1</v>
      </c>
      <c r="Y450" s="23">
        <v>1</v>
      </c>
      <c r="Z450" s="23">
        <v>4229</v>
      </c>
      <c r="AA450" s="24">
        <v>2.3646252069046999E-4</v>
      </c>
      <c r="AB450" s="14" t="str">
        <f>VLOOKUP(flu_aw24[[#This Row],[trust_code]],trust_lookup[],3,0)</f>
        <v>LNW</v>
      </c>
      <c r="AD450" s="43">
        <v>45929</v>
      </c>
      <c r="AE450" s="2">
        <v>40</v>
      </c>
      <c r="AF450" s="2" t="s">
        <v>518</v>
      </c>
      <c r="AG450" s="2" t="s">
        <v>130</v>
      </c>
      <c r="AH450" s="2" t="s">
        <v>131</v>
      </c>
      <c r="AI450" s="2" t="s">
        <v>192</v>
      </c>
      <c r="AJ450" s="23">
        <v>216</v>
      </c>
      <c r="AK450" s="23">
        <v>578</v>
      </c>
      <c r="AL450" s="23">
        <v>4229</v>
      </c>
      <c r="AM450" s="24">
        <v>0.13667533695909101</v>
      </c>
      <c r="AN450" s="44" t="str">
        <f>VLOOKUP(flu_aw25[[#This Row],[trust_code]],trust_lookup[],3,0)</f>
        <v>LNW</v>
      </c>
    </row>
    <row r="451" spans="1:40" x14ac:dyDescent="0.35">
      <c r="A451" s="2" t="s">
        <v>519</v>
      </c>
      <c r="B451" s="2" t="s">
        <v>107</v>
      </c>
      <c r="C451" s="2" t="s">
        <v>108</v>
      </c>
      <c r="D451" s="2" t="s">
        <v>193</v>
      </c>
      <c r="E451" s="2" t="s">
        <v>81</v>
      </c>
      <c r="F451" s="2">
        <v>1706</v>
      </c>
      <c r="G451" s="2">
        <v>548</v>
      </c>
      <c r="H451" s="14" t="str">
        <f>VLOOKUP(flu_group[[#This Row],[trust_code]],trust_lookup[],3,0)</f>
        <v>King's</v>
      </c>
      <c r="I451" s="14" t="str">
        <f>VLOOKUP(flu_group[[#This Row],[trust_code]],trust_lookup[],4,0)</f>
        <v>Acute</v>
      </c>
      <c r="K451" s="2" t="s">
        <v>518</v>
      </c>
      <c r="L451" s="2" t="s">
        <v>62</v>
      </c>
      <c r="M451" s="2" t="s">
        <v>63</v>
      </c>
      <c r="N451" s="2" t="s">
        <v>194</v>
      </c>
      <c r="O451" s="2" t="s">
        <v>123</v>
      </c>
      <c r="P451" s="2">
        <v>238</v>
      </c>
      <c r="R451" s="43">
        <v>45544</v>
      </c>
      <c r="S451" s="2">
        <v>37</v>
      </c>
      <c r="T451" s="2" t="s">
        <v>519</v>
      </c>
      <c r="U451" s="2" t="s">
        <v>130</v>
      </c>
      <c r="V451" s="2" t="s">
        <v>131</v>
      </c>
      <c r="W451" s="2" t="s">
        <v>192</v>
      </c>
      <c r="X451" s="23">
        <v>1</v>
      </c>
      <c r="Y451" s="23">
        <v>2</v>
      </c>
      <c r="Z451" s="23">
        <v>4229</v>
      </c>
      <c r="AA451" s="24">
        <v>4.7292504138094101E-4</v>
      </c>
      <c r="AB451" s="14" t="str">
        <f>VLOOKUP(flu_aw24[[#This Row],[trust_code]],trust_lookup[],3,0)</f>
        <v>LNW</v>
      </c>
      <c r="AD451" s="43">
        <v>45936</v>
      </c>
      <c r="AE451" s="2">
        <v>41</v>
      </c>
      <c r="AF451" s="2" t="s">
        <v>518</v>
      </c>
      <c r="AG451" s="2" t="s">
        <v>130</v>
      </c>
      <c r="AH451" s="2" t="s">
        <v>131</v>
      </c>
      <c r="AI451" s="2" t="s">
        <v>192</v>
      </c>
      <c r="AJ451" s="23">
        <v>200</v>
      </c>
      <c r="AK451" s="23">
        <v>778</v>
      </c>
      <c r="AL451" s="23">
        <v>4229</v>
      </c>
      <c r="AM451" s="24">
        <v>0.183967841097186</v>
      </c>
      <c r="AN451" s="44" t="str">
        <f>VLOOKUP(flu_aw25[[#This Row],[trust_code]],trust_lookup[],3,0)</f>
        <v>LNW</v>
      </c>
    </row>
    <row r="452" spans="1:40" x14ac:dyDescent="0.35">
      <c r="A452" s="2" t="s">
        <v>519</v>
      </c>
      <c r="B452" s="2" t="s">
        <v>107</v>
      </c>
      <c r="C452" s="2" t="s">
        <v>108</v>
      </c>
      <c r="D452" s="2" t="s">
        <v>193</v>
      </c>
      <c r="E452" s="2" t="s">
        <v>46</v>
      </c>
      <c r="F452" s="2">
        <v>16</v>
      </c>
      <c r="G452" s="2">
        <v>2</v>
      </c>
      <c r="H452" s="14" t="str">
        <f>VLOOKUP(flu_group[[#This Row],[trust_code]],trust_lookup[],3,0)</f>
        <v>King's</v>
      </c>
      <c r="I452" s="14" t="str">
        <f>VLOOKUP(flu_group[[#This Row],[trust_code]],trust_lookup[],4,0)</f>
        <v>Acute</v>
      </c>
      <c r="K452" s="2" t="s">
        <v>518</v>
      </c>
      <c r="L452" s="2" t="s">
        <v>62</v>
      </c>
      <c r="M452" s="2" t="s">
        <v>63</v>
      </c>
      <c r="N452" s="2" t="s">
        <v>194</v>
      </c>
      <c r="O452" s="2" t="s">
        <v>82</v>
      </c>
      <c r="P452" s="2">
        <v>29</v>
      </c>
      <c r="R452" s="43">
        <v>45551</v>
      </c>
      <c r="S452" s="2">
        <v>38</v>
      </c>
      <c r="T452" s="2" t="s">
        <v>519</v>
      </c>
      <c r="U452" s="2" t="s">
        <v>130</v>
      </c>
      <c r="V452" s="2" t="s">
        <v>131</v>
      </c>
      <c r="W452" s="2" t="s">
        <v>192</v>
      </c>
      <c r="X452" s="23">
        <v>139</v>
      </c>
      <c r="Y452" s="23">
        <v>141</v>
      </c>
      <c r="Z452" s="23">
        <v>4229</v>
      </c>
      <c r="AA452" s="24">
        <v>3.3341215417356303E-2</v>
      </c>
      <c r="AB452" s="14" t="str">
        <f>VLOOKUP(flu_aw24[[#This Row],[trust_code]],trust_lookup[],3,0)</f>
        <v>LNW</v>
      </c>
      <c r="AD452" s="43">
        <v>45943</v>
      </c>
      <c r="AE452" s="2">
        <v>42</v>
      </c>
      <c r="AF452" s="2" t="s">
        <v>518</v>
      </c>
      <c r="AG452" s="2" t="s">
        <v>130</v>
      </c>
      <c r="AH452" s="2" t="s">
        <v>131</v>
      </c>
      <c r="AI452" s="2" t="s">
        <v>192</v>
      </c>
      <c r="AJ452" s="23">
        <v>200</v>
      </c>
      <c r="AK452" s="23">
        <v>978</v>
      </c>
      <c r="AL452" s="23">
        <v>4229</v>
      </c>
      <c r="AM452" s="24">
        <v>0.23126034523528</v>
      </c>
      <c r="AN452" s="44" t="str">
        <f>VLOOKUP(flu_aw25[[#This Row],[trust_code]],trust_lookup[],3,0)</f>
        <v>LNW</v>
      </c>
    </row>
    <row r="453" spans="1:40" x14ac:dyDescent="0.35">
      <c r="A453" s="2" t="s">
        <v>519</v>
      </c>
      <c r="B453" s="2" t="s">
        <v>107</v>
      </c>
      <c r="C453" s="2" t="s">
        <v>108</v>
      </c>
      <c r="D453" s="2" t="s">
        <v>193</v>
      </c>
      <c r="E453" s="2" t="s">
        <v>60</v>
      </c>
      <c r="F453" s="2">
        <v>701</v>
      </c>
      <c r="G453" s="2">
        <v>295</v>
      </c>
      <c r="H453" s="14" t="str">
        <f>VLOOKUP(flu_group[[#This Row],[trust_code]],trust_lookup[],3,0)</f>
        <v>King's</v>
      </c>
      <c r="I453" s="14" t="str">
        <f>VLOOKUP(flu_group[[#This Row],[trust_code]],trust_lookup[],4,0)</f>
        <v>Acute</v>
      </c>
      <c r="K453" s="2" t="s">
        <v>518</v>
      </c>
      <c r="L453" s="2" t="s">
        <v>62</v>
      </c>
      <c r="M453" s="2" t="s">
        <v>63</v>
      </c>
      <c r="N453" s="2" t="s">
        <v>194</v>
      </c>
      <c r="O453" s="2" t="s">
        <v>88</v>
      </c>
      <c r="P453" s="2">
        <v>8</v>
      </c>
      <c r="R453" s="43">
        <v>45558</v>
      </c>
      <c r="S453" s="2">
        <v>39</v>
      </c>
      <c r="T453" s="2" t="s">
        <v>519</v>
      </c>
      <c r="U453" s="2" t="s">
        <v>130</v>
      </c>
      <c r="V453" s="2" t="s">
        <v>131</v>
      </c>
      <c r="W453" s="2" t="s">
        <v>192</v>
      </c>
      <c r="X453" s="23">
        <v>214</v>
      </c>
      <c r="Y453" s="23">
        <v>355</v>
      </c>
      <c r="Z453" s="23">
        <v>4229</v>
      </c>
      <c r="AA453" s="24">
        <v>8.3944194845117004E-2</v>
      </c>
      <c r="AB453" s="14" t="str">
        <f>VLOOKUP(flu_aw24[[#This Row],[trust_code]],trust_lookup[],3,0)</f>
        <v>LNW</v>
      </c>
      <c r="AD453" s="43">
        <v>45950</v>
      </c>
      <c r="AE453" s="2">
        <v>43</v>
      </c>
      <c r="AF453" s="2" t="s">
        <v>518</v>
      </c>
      <c r="AG453" s="2" t="s">
        <v>130</v>
      </c>
      <c r="AH453" s="2" t="s">
        <v>131</v>
      </c>
      <c r="AI453" s="2" t="s">
        <v>192</v>
      </c>
      <c r="AJ453" s="23">
        <v>155</v>
      </c>
      <c r="AK453" s="23">
        <v>1133</v>
      </c>
      <c r="AL453" s="23">
        <v>4229</v>
      </c>
      <c r="AM453" s="24">
        <v>0.26791203594230301</v>
      </c>
      <c r="AN453" s="44" t="str">
        <f>VLOOKUP(flu_aw25[[#This Row],[trust_code]],trust_lookup[],3,0)</f>
        <v>LNW</v>
      </c>
    </row>
    <row r="454" spans="1:40" x14ac:dyDescent="0.35">
      <c r="A454" s="2" t="s">
        <v>519</v>
      </c>
      <c r="B454" s="2" t="s">
        <v>107</v>
      </c>
      <c r="C454" s="2" t="s">
        <v>108</v>
      </c>
      <c r="D454" s="2" t="s">
        <v>193</v>
      </c>
      <c r="E454" s="2" t="s">
        <v>28</v>
      </c>
      <c r="F454" s="2">
        <v>49</v>
      </c>
      <c r="G454" s="2">
        <v>23</v>
      </c>
      <c r="H454" s="14" t="str">
        <f>VLOOKUP(flu_group[[#This Row],[trust_code]],trust_lookup[],3,0)</f>
        <v>King's</v>
      </c>
      <c r="I454" s="14" t="str">
        <f>VLOOKUP(flu_group[[#This Row],[trust_code]],trust_lookup[],4,0)</f>
        <v>Acute</v>
      </c>
      <c r="K454" s="2" t="s">
        <v>518</v>
      </c>
      <c r="L454" s="2" t="s">
        <v>62</v>
      </c>
      <c r="M454" s="2" t="s">
        <v>63</v>
      </c>
      <c r="N454" s="2" t="s">
        <v>194</v>
      </c>
      <c r="O454" s="2" t="s">
        <v>141</v>
      </c>
      <c r="P454" s="2">
        <v>121</v>
      </c>
      <c r="R454" s="43">
        <v>45565</v>
      </c>
      <c r="S454" s="2">
        <v>40</v>
      </c>
      <c r="T454" s="2" t="s">
        <v>519</v>
      </c>
      <c r="U454" s="2" t="s">
        <v>130</v>
      </c>
      <c r="V454" s="2" t="s">
        <v>131</v>
      </c>
      <c r="W454" s="2" t="s">
        <v>192</v>
      </c>
      <c r="X454" s="23">
        <v>202</v>
      </c>
      <c r="Y454" s="23">
        <v>557</v>
      </c>
      <c r="Z454" s="23">
        <v>4229</v>
      </c>
      <c r="AA454" s="24">
        <v>0.13170962402459199</v>
      </c>
      <c r="AB454" s="14" t="str">
        <f>VLOOKUP(flu_aw24[[#This Row],[trust_code]],trust_lookup[],3,0)</f>
        <v>LNW</v>
      </c>
      <c r="AD454" s="43">
        <v>45957</v>
      </c>
      <c r="AE454" s="2">
        <v>44</v>
      </c>
      <c r="AF454" s="2" t="s">
        <v>518</v>
      </c>
      <c r="AG454" s="2" t="s">
        <v>130</v>
      </c>
      <c r="AH454" s="2" t="s">
        <v>131</v>
      </c>
      <c r="AI454" s="2" t="s">
        <v>192</v>
      </c>
      <c r="AJ454" s="23">
        <v>106</v>
      </c>
      <c r="AK454" s="23">
        <v>1239</v>
      </c>
      <c r="AL454" s="23">
        <v>4229</v>
      </c>
      <c r="AM454" s="24">
        <v>0.29297706313549299</v>
      </c>
      <c r="AN454" s="44" t="str">
        <f>VLOOKUP(flu_aw25[[#This Row],[trust_code]],trust_lookup[],3,0)</f>
        <v>LNW</v>
      </c>
    </row>
    <row r="455" spans="1:40" x14ac:dyDescent="0.35">
      <c r="A455" s="2" t="s">
        <v>519</v>
      </c>
      <c r="B455" s="2" t="s">
        <v>107</v>
      </c>
      <c r="C455" s="2" t="s">
        <v>108</v>
      </c>
      <c r="D455" s="2" t="s">
        <v>193</v>
      </c>
      <c r="E455" s="2" t="s">
        <v>74</v>
      </c>
      <c r="F455" s="2">
        <v>188</v>
      </c>
      <c r="G455" s="2">
        <v>67</v>
      </c>
      <c r="H455" s="14" t="str">
        <f>VLOOKUP(flu_group[[#This Row],[trust_code]],trust_lookup[],3,0)</f>
        <v>King's</v>
      </c>
      <c r="I455" s="14" t="str">
        <f>VLOOKUP(flu_group[[#This Row],[trust_code]],trust_lookup[],4,0)</f>
        <v>Acute</v>
      </c>
      <c r="K455" s="2" t="s">
        <v>518</v>
      </c>
      <c r="L455" s="2" t="s">
        <v>62</v>
      </c>
      <c r="M455" s="2" t="s">
        <v>63</v>
      </c>
      <c r="N455" s="2" t="s">
        <v>194</v>
      </c>
      <c r="O455" s="2" t="s">
        <v>61</v>
      </c>
      <c r="P455" s="2">
        <v>34</v>
      </c>
      <c r="R455" s="43">
        <v>45572</v>
      </c>
      <c r="S455" s="2">
        <v>41</v>
      </c>
      <c r="T455" s="2" t="s">
        <v>519</v>
      </c>
      <c r="U455" s="2" t="s">
        <v>130</v>
      </c>
      <c r="V455" s="2" t="s">
        <v>131</v>
      </c>
      <c r="W455" s="2" t="s">
        <v>192</v>
      </c>
      <c r="X455" s="23">
        <v>224</v>
      </c>
      <c r="Y455" s="23">
        <v>781</v>
      </c>
      <c r="Z455" s="23">
        <v>4229</v>
      </c>
      <c r="AA455" s="24">
        <v>0.18467722865925701</v>
      </c>
      <c r="AB455" s="14" t="str">
        <f>VLOOKUP(flu_aw24[[#This Row],[trust_code]],trust_lookup[],3,0)</f>
        <v>LNW</v>
      </c>
      <c r="AD455" s="43">
        <v>45964</v>
      </c>
      <c r="AE455" s="2">
        <v>45</v>
      </c>
      <c r="AF455" s="2" t="s">
        <v>518</v>
      </c>
      <c r="AG455" s="2" t="s">
        <v>130</v>
      </c>
      <c r="AH455" s="2" t="s">
        <v>131</v>
      </c>
      <c r="AI455" s="2" t="s">
        <v>192</v>
      </c>
      <c r="AJ455" s="23">
        <v>86</v>
      </c>
      <c r="AK455" s="23">
        <v>1325</v>
      </c>
      <c r="AL455" s="23">
        <v>4229</v>
      </c>
      <c r="AM455" s="24">
        <v>0.31331283991487302</v>
      </c>
      <c r="AN455" s="44" t="str">
        <f>VLOOKUP(flu_aw25[[#This Row],[trust_code]],trust_lookup[],3,0)</f>
        <v>LNW</v>
      </c>
    </row>
    <row r="456" spans="1:40" x14ac:dyDescent="0.35">
      <c r="A456" s="2" t="s">
        <v>519</v>
      </c>
      <c r="B456" s="2" t="s">
        <v>107</v>
      </c>
      <c r="C456" s="2" t="s">
        <v>108</v>
      </c>
      <c r="D456" s="2" t="s">
        <v>193</v>
      </c>
      <c r="E456" s="2" t="s">
        <v>42</v>
      </c>
      <c r="F456" s="2">
        <v>2504</v>
      </c>
      <c r="G456" s="2">
        <v>1119</v>
      </c>
      <c r="H456" s="14" t="str">
        <f>VLOOKUP(flu_group[[#This Row],[trust_code]],trust_lookup[],3,0)</f>
        <v>King's</v>
      </c>
      <c r="I456" s="14" t="str">
        <f>VLOOKUP(flu_group[[#This Row],[trust_code]],trust_lookup[],4,0)</f>
        <v>Acute</v>
      </c>
      <c r="K456" s="2" t="s">
        <v>518</v>
      </c>
      <c r="L456" s="2" t="s">
        <v>62</v>
      </c>
      <c r="M456" s="2" t="s">
        <v>63</v>
      </c>
      <c r="N456" s="2" t="s">
        <v>194</v>
      </c>
      <c r="O456" s="2" t="s">
        <v>100</v>
      </c>
      <c r="P456" s="2">
        <v>157</v>
      </c>
      <c r="R456" s="43">
        <v>45579</v>
      </c>
      <c r="S456" s="2">
        <v>42</v>
      </c>
      <c r="T456" s="2" t="s">
        <v>519</v>
      </c>
      <c r="U456" s="2" t="s">
        <v>130</v>
      </c>
      <c r="V456" s="2" t="s">
        <v>131</v>
      </c>
      <c r="W456" s="2" t="s">
        <v>192</v>
      </c>
      <c r="X456" s="23">
        <v>168</v>
      </c>
      <c r="Y456" s="23">
        <v>949</v>
      </c>
      <c r="Z456" s="23">
        <v>4229</v>
      </c>
      <c r="AA456" s="24">
        <v>0.224402932135256</v>
      </c>
      <c r="AB456" s="14" t="str">
        <f>VLOOKUP(flu_aw24[[#This Row],[trust_code]],trust_lookup[],3,0)</f>
        <v>LNW</v>
      </c>
      <c r="AD456" s="43">
        <v>45971</v>
      </c>
      <c r="AE456" s="2">
        <v>46</v>
      </c>
      <c r="AF456" s="2" t="s">
        <v>518</v>
      </c>
      <c r="AG456" s="2" t="s">
        <v>130</v>
      </c>
      <c r="AH456" s="2" t="s">
        <v>131</v>
      </c>
      <c r="AI456" s="2" t="s">
        <v>192</v>
      </c>
      <c r="AJ456" s="23">
        <v>77</v>
      </c>
      <c r="AK456" s="23">
        <v>1402</v>
      </c>
      <c r="AL456" s="23">
        <v>4229</v>
      </c>
      <c r="AM456" s="24">
        <v>0.33152045400803898</v>
      </c>
      <c r="AN456" s="44" t="str">
        <f>VLOOKUP(flu_aw25[[#This Row],[trust_code]],trust_lookup[],3,0)</f>
        <v>LNW</v>
      </c>
    </row>
    <row r="457" spans="1:40" x14ac:dyDescent="0.35">
      <c r="A457" s="2" t="s">
        <v>519</v>
      </c>
      <c r="B457" s="2" t="s">
        <v>107</v>
      </c>
      <c r="C457" s="2" t="s">
        <v>108</v>
      </c>
      <c r="D457" s="2" t="s">
        <v>193</v>
      </c>
      <c r="E457" s="2" t="s">
        <v>53</v>
      </c>
      <c r="F457" s="2">
        <v>3990</v>
      </c>
      <c r="G457" s="2">
        <v>1531</v>
      </c>
      <c r="H457" s="14" t="str">
        <f>VLOOKUP(flu_group[[#This Row],[trust_code]],trust_lookup[],3,0)</f>
        <v>King's</v>
      </c>
      <c r="I457" s="14" t="str">
        <f>VLOOKUP(flu_group[[#This Row],[trust_code]],trust_lookup[],4,0)</f>
        <v>Acute</v>
      </c>
      <c r="K457" s="2" t="s">
        <v>518</v>
      </c>
      <c r="L457" s="2" t="s">
        <v>62</v>
      </c>
      <c r="M457" s="2" t="s">
        <v>63</v>
      </c>
      <c r="N457" s="2" t="s">
        <v>194</v>
      </c>
      <c r="O457" s="2" t="s">
        <v>75</v>
      </c>
      <c r="P457" s="2">
        <v>39</v>
      </c>
      <c r="R457" s="43">
        <v>45586</v>
      </c>
      <c r="S457" s="2">
        <v>43</v>
      </c>
      <c r="T457" s="2" t="s">
        <v>519</v>
      </c>
      <c r="U457" s="2" t="s">
        <v>130</v>
      </c>
      <c r="V457" s="2" t="s">
        <v>131</v>
      </c>
      <c r="W457" s="2" t="s">
        <v>192</v>
      </c>
      <c r="X457" s="23">
        <v>124</v>
      </c>
      <c r="Y457" s="23">
        <v>1073</v>
      </c>
      <c r="Z457" s="23">
        <v>4229</v>
      </c>
      <c r="AA457" s="24">
        <v>0.25372428470087399</v>
      </c>
      <c r="AB457" s="14" t="str">
        <f>VLOOKUP(flu_aw24[[#This Row],[trust_code]],trust_lookup[],3,0)</f>
        <v>LNW</v>
      </c>
      <c r="AD457" s="43">
        <v>45978</v>
      </c>
      <c r="AE457" s="2">
        <v>47</v>
      </c>
      <c r="AF457" s="2" t="s">
        <v>518</v>
      </c>
      <c r="AG457" s="2" t="s">
        <v>130</v>
      </c>
      <c r="AH457" s="2" t="s">
        <v>131</v>
      </c>
      <c r="AI457" s="2" t="s">
        <v>192</v>
      </c>
      <c r="AJ457" s="23">
        <v>44</v>
      </c>
      <c r="AK457" s="23">
        <v>1446</v>
      </c>
      <c r="AL457" s="23">
        <v>4229</v>
      </c>
      <c r="AM457" s="24">
        <v>0.34192480491841998</v>
      </c>
      <c r="AN457" s="44" t="str">
        <f>VLOOKUP(flu_aw25[[#This Row],[trust_code]],trust_lookup[],3,0)</f>
        <v>LNW</v>
      </c>
    </row>
    <row r="458" spans="1:40" x14ac:dyDescent="0.35">
      <c r="A458" s="2" t="s">
        <v>519</v>
      </c>
      <c r="B458" s="2" t="s">
        <v>107</v>
      </c>
      <c r="C458" s="2" t="s">
        <v>108</v>
      </c>
      <c r="D458" s="2" t="s">
        <v>193</v>
      </c>
      <c r="E458" s="2" t="s">
        <v>35</v>
      </c>
      <c r="F458" s="2">
        <v>14</v>
      </c>
      <c r="G458" s="2">
        <v>5</v>
      </c>
      <c r="H458" s="14" t="str">
        <f>VLOOKUP(flu_group[[#This Row],[trust_code]],trust_lookup[],3,0)</f>
        <v>King's</v>
      </c>
      <c r="I458" s="14" t="str">
        <f>VLOOKUP(flu_group[[#This Row],[trust_code]],trust_lookup[],4,0)</f>
        <v>Acute</v>
      </c>
      <c r="K458" s="2" t="s">
        <v>518</v>
      </c>
      <c r="L458" s="2" t="s">
        <v>62</v>
      </c>
      <c r="M458" s="2" t="s">
        <v>63</v>
      </c>
      <c r="N458" s="2" t="s">
        <v>194</v>
      </c>
      <c r="O458" s="2" t="s">
        <v>106</v>
      </c>
      <c r="P458" s="2">
        <v>20</v>
      </c>
      <c r="R458" s="43">
        <v>45593</v>
      </c>
      <c r="S458" s="2">
        <v>44</v>
      </c>
      <c r="T458" s="2" t="s">
        <v>519</v>
      </c>
      <c r="U458" s="2" t="s">
        <v>130</v>
      </c>
      <c r="V458" s="2" t="s">
        <v>131</v>
      </c>
      <c r="W458" s="2" t="s">
        <v>192</v>
      </c>
      <c r="X458" s="23">
        <v>86</v>
      </c>
      <c r="Y458" s="23">
        <v>1159</v>
      </c>
      <c r="Z458" s="23">
        <v>4229</v>
      </c>
      <c r="AA458" s="24">
        <v>0.27406006148025502</v>
      </c>
      <c r="AB458" s="14" t="str">
        <f>VLOOKUP(flu_aw24[[#This Row],[trust_code]],trust_lookup[],3,0)</f>
        <v>LNW</v>
      </c>
      <c r="AD458" s="43">
        <v>45985</v>
      </c>
      <c r="AE458" s="2">
        <v>48</v>
      </c>
      <c r="AF458" s="2" t="s">
        <v>518</v>
      </c>
      <c r="AG458" s="2" t="s">
        <v>130</v>
      </c>
      <c r="AH458" s="2" t="s">
        <v>131</v>
      </c>
      <c r="AI458" s="2" t="s">
        <v>192</v>
      </c>
      <c r="AJ458" s="23">
        <v>46</v>
      </c>
      <c r="AK458" s="23">
        <v>1492</v>
      </c>
      <c r="AL458" s="23">
        <v>4229</v>
      </c>
      <c r="AM458" s="24">
        <v>0.352802080870182</v>
      </c>
      <c r="AN458" s="44" t="str">
        <f>VLOOKUP(flu_aw25[[#This Row],[trust_code]],trust_lookup[],3,0)</f>
        <v>LNW</v>
      </c>
    </row>
    <row r="459" spans="1:40" x14ac:dyDescent="0.35">
      <c r="A459" s="2" t="s">
        <v>519</v>
      </c>
      <c r="B459" s="2" t="s">
        <v>118</v>
      </c>
      <c r="C459" s="2" t="s">
        <v>119</v>
      </c>
      <c r="D459" s="2" t="s">
        <v>193</v>
      </c>
      <c r="E459" s="2" t="s">
        <v>67</v>
      </c>
      <c r="F459" s="2">
        <v>209</v>
      </c>
      <c r="G459" s="2">
        <v>91</v>
      </c>
      <c r="H459" s="14" t="str">
        <f>VLOOKUP(flu_group[[#This Row],[trust_code]],trust_lookup[],3,0)</f>
        <v>L&amp;G</v>
      </c>
      <c r="I459" s="14" t="str">
        <f>VLOOKUP(flu_group[[#This Row],[trust_code]],trust_lookup[],4,0)</f>
        <v>Acute</v>
      </c>
      <c r="K459" s="2" t="s">
        <v>518</v>
      </c>
      <c r="L459" s="2" t="s">
        <v>62</v>
      </c>
      <c r="M459" s="2" t="s">
        <v>63</v>
      </c>
      <c r="N459" s="2" t="s">
        <v>194</v>
      </c>
      <c r="O459" s="2" t="s">
        <v>112</v>
      </c>
      <c r="P459" s="2">
        <v>66</v>
      </c>
      <c r="R459" s="43">
        <v>45600</v>
      </c>
      <c r="S459" s="2">
        <v>45</v>
      </c>
      <c r="T459" s="2" t="s">
        <v>519</v>
      </c>
      <c r="U459" s="2" t="s">
        <v>130</v>
      </c>
      <c r="V459" s="2" t="s">
        <v>131</v>
      </c>
      <c r="W459" s="2" t="s">
        <v>192</v>
      </c>
      <c r="X459" s="23">
        <v>104</v>
      </c>
      <c r="Y459" s="23">
        <v>1263</v>
      </c>
      <c r="Z459" s="23">
        <v>4229</v>
      </c>
      <c r="AA459" s="24">
        <v>0.29865216363206398</v>
      </c>
      <c r="AB459" s="14" t="str">
        <f>VLOOKUP(flu_aw24[[#This Row],[trust_code]],trust_lookup[],3,0)</f>
        <v>LNW</v>
      </c>
      <c r="AD459" s="43">
        <v>45992</v>
      </c>
      <c r="AE459" s="2">
        <v>49</v>
      </c>
      <c r="AF459" s="2" t="s">
        <v>518</v>
      </c>
      <c r="AG459" s="2" t="s">
        <v>130</v>
      </c>
      <c r="AH459" s="2" t="s">
        <v>131</v>
      </c>
      <c r="AI459" s="2" t="s">
        <v>192</v>
      </c>
      <c r="AJ459" s="23">
        <v>35</v>
      </c>
      <c r="AK459" s="23">
        <v>1527</v>
      </c>
      <c r="AL459" s="23">
        <v>4229</v>
      </c>
      <c r="AM459" s="24">
        <v>0.36107826909434798</v>
      </c>
      <c r="AN459" s="44" t="str">
        <f>VLOOKUP(flu_aw25[[#This Row],[trust_code]],trust_lookup[],3,0)</f>
        <v>LNW</v>
      </c>
    </row>
    <row r="460" spans="1:40" x14ac:dyDescent="0.35">
      <c r="A460" s="2" t="s">
        <v>519</v>
      </c>
      <c r="B460" s="2" t="s">
        <v>118</v>
      </c>
      <c r="C460" s="2" t="s">
        <v>119</v>
      </c>
      <c r="D460" s="2" t="s">
        <v>193</v>
      </c>
      <c r="E460" s="2" t="s">
        <v>81</v>
      </c>
      <c r="F460" s="2">
        <v>1468</v>
      </c>
      <c r="G460" s="2">
        <v>313</v>
      </c>
      <c r="H460" s="14" t="str">
        <f>VLOOKUP(flu_group[[#This Row],[trust_code]],trust_lookup[],3,0)</f>
        <v>L&amp;G</v>
      </c>
      <c r="I460" s="14" t="str">
        <f>VLOOKUP(flu_group[[#This Row],[trust_code]],trust_lookup[],4,0)</f>
        <v>Acute</v>
      </c>
      <c r="K460" s="2" t="s">
        <v>518</v>
      </c>
      <c r="L460" s="2" t="s">
        <v>62</v>
      </c>
      <c r="M460" s="2" t="s">
        <v>63</v>
      </c>
      <c r="N460" s="2" t="s">
        <v>194</v>
      </c>
      <c r="O460" s="2" t="s">
        <v>36</v>
      </c>
      <c r="P460" s="2">
        <v>68</v>
      </c>
      <c r="R460" s="43">
        <v>45607</v>
      </c>
      <c r="S460" s="2">
        <v>46</v>
      </c>
      <c r="T460" s="2" t="s">
        <v>519</v>
      </c>
      <c r="U460" s="2" t="s">
        <v>130</v>
      </c>
      <c r="V460" s="2" t="s">
        <v>131</v>
      </c>
      <c r="W460" s="2" t="s">
        <v>192</v>
      </c>
      <c r="X460" s="23">
        <v>59</v>
      </c>
      <c r="Y460" s="23">
        <v>1322</v>
      </c>
      <c r="Z460" s="23">
        <v>4229</v>
      </c>
      <c r="AA460" s="24">
        <v>0.31260345235280201</v>
      </c>
      <c r="AB460" s="14" t="str">
        <f>VLOOKUP(flu_aw24[[#This Row],[trust_code]],trust_lookup[],3,0)</f>
        <v>LNW</v>
      </c>
      <c r="AD460" s="43">
        <v>45999</v>
      </c>
      <c r="AE460" s="2">
        <v>50</v>
      </c>
      <c r="AF460" s="2" t="s">
        <v>518</v>
      </c>
      <c r="AG460" s="2" t="s">
        <v>130</v>
      </c>
      <c r="AH460" s="2" t="s">
        <v>131</v>
      </c>
      <c r="AI460" s="2" t="s">
        <v>192</v>
      </c>
      <c r="AJ460" s="23">
        <v>56</v>
      </c>
      <c r="AK460" s="23">
        <v>1583</v>
      </c>
      <c r="AL460" s="23">
        <v>4229</v>
      </c>
      <c r="AM460" s="24">
        <v>0.37432017025301401</v>
      </c>
      <c r="AN460" s="44" t="str">
        <f>VLOOKUP(flu_aw25[[#This Row],[trust_code]],trust_lookup[],3,0)</f>
        <v>LNW</v>
      </c>
    </row>
    <row r="461" spans="1:40" x14ac:dyDescent="0.35">
      <c r="A461" s="2" t="s">
        <v>519</v>
      </c>
      <c r="B461" s="2" t="s">
        <v>118</v>
      </c>
      <c r="C461" s="2" t="s">
        <v>119</v>
      </c>
      <c r="D461" s="2" t="s">
        <v>193</v>
      </c>
      <c r="E461" s="2" t="s">
        <v>46</v>
      </c>
      <c r="F461" s="2">
        <v>161</v>
      </c>
      <c r="G461" s="2">
        <v>34</v>
      </c>
      <c r="H461" s="14" t="str">
        <f>VLOOKUP(flu_group[[#This Row],[trust_code]],trust_lookup[],3,0)</f>
        <v>L&amp;G</v>
      </c>
      <c r="I461" s="14" t="str">
        <f>VLOOKUP(flu_group[[#This Row],[trust_code]],trust_lookup[],4,0)</f>
        <v>Acute</v>
      </c>
      <c r="K461" s="2" t="s">
        <v>518</v>
      </c>
      <c r="L461" s="2" t="s">
        <v>76</v>
      </c>
      <c r="M461" s="2" t="s">
        <v>77</v>
      </c>
      <c r="N461" s="2" t="s">
        <v>194</v>
      </c>
      <c r="O461" s="2" t="s">
        <v>68</v>
      </c>
      <c r="P461" s="2">
        <v>1090</v>
      </c>
      <c r="R461" s="43">
        <v>45614</v>
      </c>
      <c r="S461" s="2">
        <v>47</v>
      </c>
      <c r="T461" s="2" t="s">
        <v>519</v>
      </c>
      <c r="U461" s="2" t="s">
        <v>130</v>
      </c>
      <c r="V461" s="2" t="s">
        <v>131</v>
      </c>
      <c r="W461" s="2" t="s">
        <v>192</v>
      </c>
      <c r="X461" s="23">
        <v>51</v>
      </c>
      <c r="Y461" s="23">
        <v>1373</v>
      </c>
      <c r="Z461" s="23">
        <v>4229</v>
      </c>
      <c r="AA461" s="24">
        <v>0.32466304090801601</v>
      </c>
      <c r="AB461" s="14" t="str">
        <f>VLOOKUP(flu_aw24[[#This Row],[trust_code]],trust_lookup[],3,0)</f>
        <v>LNW</v>
      </c>
      <c r="AD461" s="43">
        <v>46006</v>
      </c>
      <c r="AE461" s="2">
        <v>51</v>
      </c>
      <c r="AF461" s="2" t="s">
        <v>518</v>
      </c>
      <c r="AG461" s="2" t="s">
        <v>130</v>
      </c>
      <c r="AH461" s="2" t="s">
        <v>131</v>
      </c>
      <c r="AI461" s="2" t="s">
        <v>192</v>
      </c>
      <c r="AJ461" s="23">
        <v>70</v>
      </c>
      <c r="AK461" s="23">
        <v>1653</v>
      </c>
      <c r="AL461" s="23">
        <v>4229</v>
      </c>
      <c r="AM461" s="24">
        <v>0.39087254670134702</v>
      </c>
      <c r="AN461" s="44" t="str">
        <f>VLOOKUP(flu_aw25[[#This Row],[trust_code]],trust_lookup[],3,0)</f>
        <v>LNW</v>
      </c>
    </row>
    <row r="462" spans="1:40" x14ac:dyDescent="0.35">
      <c r="A462" s="2" t="s">
        <v>519</v>
      </c>
      <c r="B462" s="2" t="s">
        <v>118</v>
      </c>
      <c r="C462" s="2" t="s">
        <v>119</v>
      </c>
      <c r="D462" s="2" t="s">
        <v>193</v>
      </c>
      <c r="E462" s="2" t="s">
        <v>60</v>
      </c>
      <c r="F462" s="2">
        <v>572</v>
      </c>
      <c r="G462" s="2">
        <v>177</v>
      </c>
      <c r="H462" s="14" t="str">
        <f>VLOOKUP(flu_group[[#This Row],[trust_code]],trust_lookup[],3,0)</f>
        <v>L&amp;G</v>
      </c>
      <c r="I462" s="14" t="str">
        <f>VLOOKUP(flu_group[[#This Row],[trust_code]],trust_lookup[],4,0)</f>
        <v>Acute</v>
      </c>
      <c r="K462" s="2" t="s">
        <v>518</v>
      </c>
      <c r="L462" s="2" t="s">
        <v>76</v>
      </c>
      <c r="M462" s="2" t="s">
        <v>77</v>
      </c>
      <c r="N462" s="2" t="s">
        <v>194</v>
      </c>
      <c r="O462" s="2" t="s">
        <v>135</v>
      </c>
      <c r="P462" s="2">
        <v>38</v>
      </c>
      <c r="R462" s="43">
        <v>45621</v>
      </c>
      <c r="S462" s="2">
        <v>48</v>
      </c>
      <c r="T462" s="2" t="s">
        <v>519</v>
      </c>
      <c r="U462" s="2" t="s">
        <v>130</v>
      </c>
      <c r="V462" s="2" t="s">
        <v>131</v>
      </c>
      <c r="W462" s="2" t="s">
        <v>192</v>
      </c>
      <c r="X462" s="23">
        <v>34</v>
      </c>
      <c r="Y462" s="23">
        <v>1407</v>
      </c>
      <c r="Z462" s="23">
        <v>4229</v>
      </c>
      <c r="AA462" s="24">
        <v>0.33270276661149201</v>
      </c>
      <c r="AB462" s="14" t="str">
        <f>VLOOKUP(flu_aw24[[#This Row],[trust_code]],trust_lookup[],3,0)</f>
        <v>LNW</v>
      </c>
      <c r="AD462" s="43">
        <v>46013</v>
      </c>
      <c r="AE462" s="2">
        <v>52</v>
      </c>
      <c r="AF462" s="2" t="s">
        <v>518</v>
      </c>
      <c r="AG462" s="2" t="s">
        <v>130</v>
      </c>
      <c r="AH462" s="2" t="s">
        <v>131</v>
      </c>
      <c r="AI462" s="2" t="s">
        <v>192</v>
      </c>
      <c r="AJ462" s="23">
        <v>12</v>
      </c>
      <c r="AK462" s="23">
        <v>1665</v>
      </c>
      <c r="AL462" s="23">
        <v>4229</v>
      </c>
      <c r="AM462" s="24">
        <v>0.39371009694963299</v>
      </c>
      <c r="AN462" s="44" t="str">
        <f>VLOOKUP(flu_aw25[[#This Row],[trust_code]],trust_lookup[],3,0)</f>
        <v>LNW</v>
      </c>
    </row>
    <row r="463" spans="1:40" x14ac:dyDescent="0.35">
      <c r="A463" s="2" t="s">
        <v>519</v>
      </c>
      <c r="B463" s="2" t="s">
        <v>118</v>
      </c>
      <c r="C463" s="2" t="s">
        <v>119</v>
      </c>
      <c r="D463" s="2" t="s">
        <v>193</v>
      </c>
      <c r="E463" s="2" t="s">
        <v>28</v>
      </c>
      <c r="F463" s="2">
        <v>64</v>
      </c>
      <c r="G463" s="2">
        <v>13</v>
      </c>
      <c r="H463" s="14" t="str">
        <f>VLOOKUP(flu_group[[#This Row],[trust_code]],trust_lookup[],3,0)</f>
        <v>L&amp;G</v>
      </c>
      <c r="I463" s="14" t="str">
        <f>VLOOKUP(flu_group[[#This Row],[trust_code]],trust_lookup[],4,0)</f>
        <v>Acute</v>
      </c>
      <c r="K463" s="2" t="s">
        <v>518</v>
      </c>
      <c r="L463" s="2" t="s">
        <v>76</v>
      </c>
      <c r="M463" s="2" t="s">
        <v>77</v>
      </c>
      <c r="N463" s="2" t="s">
        <v>194</v>
      </c>
      <c r="O463" s="2" t="s">
        <v>54</v>
      </c>
      <c r="P463" s="2">
        <v>184</v>
      </c>
      <c r="R463" s="43">
        <v>45628</v>
      </c>
      <c r="S463" s="2">
        <v>49</v>
      </c>
      <c r="T463" s="2" t="s">
        <v>519</v>
      </c>
      <c r="U463" s="2" t="s">
        <v>130</v>
      </c>
      <c r="V463" s="2" t="s">
        <v>131</v>
      </c>
      <c r="W463" s="2" t="s">
        <v>192</v>
      </c>
      <c r="X463" s="23">
        <v>35</v>
      </c>
      <c r="Y463" s="23">
        <v>1442</v>
      </c>
      <c r="Z463" s="23">
        <v>4229</v>
      </c>
      <c r="AA463" s="24">
        <v>0.34097895483565799</v>
      </c>
      <c r="AB463" s="14" t="str">
        <f>VLOOKUP(flu_aw24[[#This Row],[trust_code]],trust_lookup[],3,0)</f>
        <v>LNW</v>
      </c>
      <c r="AD463" s="43">
        <v>46020</v>
      </c>
      <c r="AE463" s="2">
        <v>1</v>
      </c>
      <c r="AF463" s="2" t="s">
        <v>518</v>
      </c>
      <c r="AG463" s="2" t="s">
        <v>130</v>
      </c>
      <c r="AH463" s="2" t="s">
        <v>131</v>
      </c>
      <c r="AI463" s="2" t="s">
        <v>192</v>
      </c>
      <c r="AJ463" s="23">
        <v>18</v>
      </c>
      <c r="AK463" s="23">
        <v>1683</v>
      </c>
      <c r="AL463" s="23">
        <v>4229</v>
      </c>
      <c r="AM463" s="24">
        <v>0.39796642232206197</v>
      </c>
      <c r="AN463" s="44" t="str">
        <f>VLOOKUP(flu_aw25[[#This Row],[trust_code]],trust_lookup[],3,0)</f>
        <v>LNW</v>
      </c>
    </row>
    <row r="464" spans="1:40" x14ac:dyDescent="0.35">
      <c r="A464" s="2" t="s">
        <v>519</v>
      </c>
      <c r="B464" s="2" t="s">
        <v>118</v>
      </c>
      <c r="C464" s="2" t="s">
        <v>119</v>
      </c>
      <c r="D464" s="2" t="s">
        <v>193</v>
      </c>
      <c r="E464" s="2" t="s">
        <v>74</v>
      </c>
      <c r="F464" s="2">
        <v>80</v>
      </c>
      <c r="G464" s="2">
        <v>21</v>
      </c>
      <c r="H464" s="14" t="str">
        <f>VLOOKUP(flu_group[[#This Row],[trust_code]],trust_lookup[],3,0)</f>
        <v>L&amp;G</v>
      </c>
      <c r="I464" s="14" t="str">
        <f>VLOOKUP(flu_group[[#This Row],[trust_code]],trust_lookup[],4,0)</f>
        <v>Acute</v>
      </c>
      <c r="K464" s="2" t="s">
        <v>518</v>
      </c>
      <c r="L464" s="2" t="s">
        <v>76</v>
      </c>
      <c r="M464" s="2" t="s">
        <v>77</v>
      </c>
      <c r="N464" s="2" t="s">
        <v>194</v>
      </c>
      <c r="O464" s="2" t="s">
        <v>129</v>
      </c>
      <c r="P464" s="2">
        <v>11</v>
      </c>
      <c r="R464" s="43">
        <v>45635</v>
      </c>
      <c r="S464" s="2">
        <v>50</v>
      </c>
      <c r="T464" s="2" t="s">
        <v>519</v>
      </c>
      <c r="U464" s="2" t="s">
        <v>130</v>
      </c>
      <c r="V464" s="2" t="s">
        <v>131</v>
      </c>
      <c r="W464" s="2" t="s">
        <v>192</v>
      </c>
      <c r="X464" s="23">
        <v>39</v>
      </c>
      <c r="Y464" s="23">
        <v>1481</v>
      </c>
      <c r="Z464" s="23">
        <v>4229</v>
      </c>
      <c r="AA464" s="24">
        <v>0.35020099314258601</v>
      </c>
      <c r="AB464" s="14" t="str">
        <f>VLOOKUP(flu_aw24[[#This Row],[trust_code]],trust_lookup[],3,0)</f>
        <v>LNW</v>
      </c>
      <c r="AD464" s="43">
        <v>46027</v>
      </c>
      <c r="AE464" s="2">
        <v>2</v>
      </c>
      <c r="AF464" s="2" t="s">
        <v>518</v>
      </c>
      <c r="AG464" s="2" t="s">
        <v>130</v>
      </c>
      <c r="AH464" s="2" t="s">
        <v>131</v>
      </c>
      <c r="AI464" s="2" t="s">
        <v>192</v>
      </c>
      <c r="AJ464" s="23">
        <v>31</v>
      </c>
      <c r="AK464" s="23">
        <v>1714</v>
      </c>
      <c r="AL464" s="23">
        <v>4229</v>
      </c>
      <c r="AM464" s="24">
        <v>0.40529676046346602</v>
      </c>
      <c r="AN464" s="44" t="str">
        <f>VLOOKUP(flu_aw25[[#This Row],[trust_code]],trust_lookup[],3,0)</f>
        <v>LNW</v>
      </c>
    </row>
    <row r="465" spans="1:40" x14ac:dyDescent="0.35">
      <c r="A465" s="2" t="s">
        <v>519</v>
      </c>
      <c r="B465" s="2" t="s">
        <v>118</v>
      </c>
      <c r="C465" s="2" t="s">
        <v>119</v>
      </c>
      <c r="D465" s="2" t="s">
        <v>193</v>
      </c>
      <c r="E465" s="2" t="s">
        <v>42</v>
      </c>
      <c r="F465" s="2">
        <v>1256</v>
      </c>
      <c r="G465" s="2">
        <v>549</v>
      </c>
      <c r="H465" s="14" t="str">
        <f>VLOOKUP(flu_group[[#This Row],[trust_code]],trust_lookup[],3,0)</f>
        <v>L&amp;G</v>
      </c>
      <c r="I465" s="14" t="str">
        <f>VLOOKUP(flu_group[[#This Row],[trust_code]],trust_lookup[],4,0)</f>
        <v>Acute</v>
      </c>
      <c r="K465" s="2" t="s">
        <v>518</v>
      </c>
      <c r="L465" s="2" t="s">
        <v>76</v>
      </c>
      <c r="M465" s="2" t="s">
        <v>77</v>
      </c>
      <c r="N465" s="2" t="s">
        <v>194</v>
      </c>
      <c r="O465" s="2" t="s">
        <v>47</v>
      </c>
      <c r="P465" s="2">
        <v>16</v>
      </c>
      <c r="R465" s="43">
        <v>45642</v>
      </c>
      <c r="S465" s="2">
        <v>51</v>
      </c>
      <c r="T465" s="2" t="s">
        <v>519</v>
      </c>
      <c r="U465" s="2" t="s">
        <v>130</v>
      </c>
      <c r="V465" s="2" t="s">
        <v>131</v>
      </c>
      <c r="W465" s="2" t="s">
        <v>192</v>
      </c>
      <c r="X465" s="23">
        <v>26</v>
      </c>
      <c r="Y465" s="23">
        <v>1507</v>
      </c>
      <c r="Z465" s="23">
        <v>4229</v>
      </c>
      <c r="AA465" s="24">
        <v>0.35634901868053898</v>
      </c>
      <c r="AB465" s="14" t="str">
        <f>VLOOKUP(flu_aw24[[#This Row],[trust_code]],trust_lookup[],3,0)</f>
        <v>LNW</v>
      </c>
      <c r="AD465" s="43">
        <v>46034</v>
      </c>
      <c r="AE465" s="2">
        <v>3</v>
      </c>
      <c r="AF465" s="2" t="s">
        <v>518</v>
      </c>
      <c r="AG465" s="2" t="s">
        <v>130</v>
      </c>
      <c r="AH465" s="2" t="s">
        <v>131</v>
      </c>
      <c r="AI465" s="2" t="s">
        <v>192</v>
      </c>
      <c r="AJ465" s="23">
        <v>29</v>
      </c>
      <c r="AK465" s="23">
        <v>1743</v>
      </c>
      <c r="AL465" s="23">
        <v>4229</v>
      </c>
      <c r="AM465" s="24">
        <v>0.41215417356348999</v>
      </c>
      <c r="AN465" s="44" t="str">
        <f>VLOOKUP(flu_aw25[[#This Row],[trust_code]],trust_lookup[],3,0)</f>
        <v>LNW</v>
      </c>
    </row>
    <row r="466" spans="1:40" x14ac:dyDescent="0.35">
      <c r="A466" s="2" t="s">
        <v>519</v>
      </c>
      <c r="B466" s="2" t="s">
        <v>118</v>
      </c>
      <c r="C466" s="2" t="s">
        <v>119</v>
      </c>
      <c r="D466" s="2" t="s">
        <v>193</v>
      </c>
      <c r="E466" s="2" t="s">
        <v>53</v>
      </c>
      <c r="F466" s="2">
        <v>2752</v>
      </c>
      <c r="G466" s="2">
        <v>728</v>
      </c>
      <c r="H466" s="14" t="str">
        <f>VLOOKUP(flu_group[[#This Row],[trust_code]],trust_lookup[],3,0)</f>
        <v>L&amp;G</v>
      </c>
      <c r="I466" s="14" t="str">
        <f>VLOOKUP(flu_group[[#This Row],[trust_code]],trust_lookup[],4,0)</f>
        <v>Acute</v>
      </c>
      <c r="K466" s="2" t="s">
        <v>518</v>
      </c>
      <c r="L466" s="2" t="s">
        <v>76</v>
      </c>
      <c r="M466" s="2" t="s">
        <v>77</v>
      </c>
      <c r="N466" s="2" t="s">
        <v>194</v>
      </c>
      <c r="O466" s="2" t="s">
        <v>94</v>
      </c>
      <c r="P466" s="2">
        <v>25</v>
      </c>
      <c r="R466" s="43">
        <v>45649</v>
      </c>
      <c r="S466" s="2">
        <v>52</v>
      </c>
      <c r="T466" s="2" t="s">
        <v>519</v>
      </c>
      <c r="U466" s="2" t="s">
        <v>130</v>
      </c>
      <c r="V466" s="2" t="s">
        <v>131</v>
      </c>
      <c r="W466" s="2" t="s">
        <v>192</v>
      </c>
      <c r="X466" s="23">
        <v>4</v>
      </c>
      <c r="Y466" s="23">
        <v>1511</v>
      </c>
      <c r="Z466" s="23">
        <v>4229</v>
      </c>
      <c r="AA466" s="24">
        <v>0.35729486876330102</v>
      </c>
      <c r="AB466" s="14" t="str">
        <f>VLOOKUP(flu_aw24[[#This Row],[trust_code]],trust_lookup[],3,0)</f>
        <v>LNW</v>
      </c>
      <c r="AD466" s="43">
        <v>46041</v>
      </c>
      <c r="AE466" s="2">
        <v>4</v>
      </c>
      <c r="AF466" s="2" t="s">
        <v>518</v>
      </c>
      <c r="AG466" s="2" t="s">
        <v>130</v>
      </c>
      <c r="AH466" s="2" t="s">
        <v>131</v>
      </c>
      <c r="AI466" s="2" t="s">
        <v>192</v>
      </c>
      <c r="AJ466" s="23">
        <v>19</v>
      </c>
      <c r="AK466" s="23">
        <v>1762</v>
      </c>
      <c r="AL466" s="23">
        <v>4229</v>
      </c>
      <c r="AM466" s="24">
        <v>0.41664696145660901</v>
      </c>
      <c r="AN466" s="44" t="str">
        <f>VLOOKUP(flu_aw25[[#This Row],[trust_code]],trust_lookup[],3,0)</f>
        <v>LNW</v>
      </c>
    </row>
    <row r="467" spans="1:40" x14ac:dyDescent="0.35">
      <c r="A467" s="2" t="s">
        <v>519</v>
      </c>
      <c r="B467" s="2" t="s">
        <v>118</v>
      </c>
      <c r="C467" s="2" t="s">
        <v>119</v>
      </c>
      <c r="D467" s="2" t="s">
        <v>193</v>
      </c>
      <c r="E467" s="2" t="s">
        <v>35</v>
      </c>
      <c r="F467" s="2">
        <v>7</v>
      </c>
      <c r="G467" s="2">
        <v>2</v>
      </c>
      <c r="H467" s="14" t="str">
        <f>VLOOKUP(flu_group[[#This Row],[trust_code]],trust_lookup[],3,0)</f>
        <v>L&amp;G</v>
      </c>
      <c r="I467" s="14" t="str">
        <f>VLOOKUP(flu_group[[#This Row],[trust_code]],trust_lookup[],4,0)</f>
        <v>Acute</v>
      </c>
      <c r="K467" s="2" t="s">
        <v>518</v>
      </c>
      <c r="L467" s="2" t="s">
        <v>76</v>
      </c>
      <c r="M467" s="2" t="s">
        <v>77</v>
      </c>
      <c r="N467" s="2" t="s">
        <v>194</v>
      </c>
      <c r="O467" s="2" t="s">
        <v>29</v>
      </c>
      <c r="P467" s="2">
        <v>26</v>
      </c>
      <c r="R467" s="43">
        <v>45656</v>
      </c>
      <c r="S467" s="2">
        <v>1</v>
      </c>
      <c r="T467" s="2" t="s">
        <v>519</v>
      </c>
      <c r="U467" s="2" t="s">
        <v>130</v>
      </c>
      <c r="V467" s="2" t="s">
        <v>131</v>
      </c>
      <c r="W467" s="2" t="s">
        <v>192</v>
      </c>
      <c r="X467" s="23">
        <v>9</v>
      </c>
      <c r="Y467" s="23">
        <v>1520</v>
      </c>
      <c r="Z467" s="23">
        <v>4229</v>
      </c>
      <c r="AA467" s="24">
        <v>0.35942303144951498</v>
      </c>
      <c r="AB467" s="14" t="str">
        <f>VLOOKUP(flu_aw24[[#This Row],[trust_code]],trust_lookup[],3,0)</f>
        <v>LNW</v>
      </c>
      <c r="AD467" s="43">
        <v>46048</v>
      </c>
      <c r="AE467" s="2">
        <v>5</v>
      </c>
      <c r="AF467" s="2" t="s">
        <v>518</v>
      </c>
      <c r="AG467" s="2" t="s">
        <v>130</v>
      </c>
      <c r="AH467" s="2" t="s">
        <v>131</v>
      </c>
      <c r="AI467" s="2" t="s">
        <v>192</v>
      </c>
      <c r="AJ467" s="23">
        <v>23</v>
      </c>
      <c r="AK467" s="23">
        <v>1785</v>
      </c>
      <c r="AL467" s="23">
        <v>4229</v>
      </c>
      <c r="AM467" s="24">
        <v>0.42208559943248902</v>
      </c>
      <c r="AN467" s="44" t="str">
        <f>VLOOKUP(flu_aw25[[#This Row],[trust_code]],trust_lookup[],3,0)</f>
        <v>LNW</v>
      </c>
    </row>
    <row r="468" spans="1:40" x14ac:dyDescent="0.35">
      <c r="A468" s="2" t="s">
        <v>519</v>
      </c>
      <c r="B468" s="2" t="s">
        <v>152</v>
      </c>
      <c r="C468" s="2" t="s">
        <v>153</v>
      </c>
      <c r="D468" s="2" t="s">
        <v>193</v>
      </c>
      <c r="E468" s="2" t="s">
        <v>67</v>
      </c>
      <c r="F468" s="2">
        <v>388</v>
      </c>
      <c r="G468" s="2">
        <v>132</v>
      </c>
      <c r="H468" s="14" t="str">
        <f>VLOOKUP(flu_group[[#This Row],[trust_code]],trust_lookup[],3,0)</f>
        <v>Oxleas</v>
      </c>
      <c r="I468" s="14" t="str">
        <f>VLOOKUP(flu_group[[#This Row],[trust_code]],trust_lookup[],4,0)</f>
        <v>Mental Health &amp; Community</v>
      </c>
      <c r="K468" s="2" t="s">
        <v>518</v>
      </c>
      <c r="L468" s="2" t="s">
        <v>76</v>
      </c>
      <c r="M468" s="2" t="s">
        <v>77</v>
      </c>
      <c r="N468" s="2" t="s">
        <v>194</v>
      </c>
      <c r="O468" s="2" t="s">
        <v>123</v>
      </c>
      <c r="P468" s="2">
        <v>267</v>
      </c>
      <c r="R468" s="43">
        <v>45663</v>
      </c>
      <c r="S468" s="2">
        <v>2</v>
      </c>
      <c r="T468" s="2" t="s">
        <v>519</v>
      </c>
      <c r="U468" s="2" t="s">
        <v>130</v>
      </c>
      <c r="V468" s="2" t="s">
        <v>131</v>
      </c>
      <c r="W468" s="2" t="s">
        <v>192</v>
      </c>
      <c r="X468" s="23">
        <v>8</v>
      </c>
      <c r="Y468" s="23">
        <v>1528</v>
      </c>
      <c r="Z468" s="23">
        <v>4229</v>
      </c>
      <c r="AA468" s="24">
        <v>0.36131473161503902</v>
      </c>
      <c r="AB468" s="14" t="str">
        <f>VLOOKUP(flu_aw24[[#This Row],[trust_code]],trust_lookup[],3,0)</f>
        <v>LNW</v>
      </c>
      <c r="AD468" s="43">
        <v>46055</v>
      </c>
      <c r="AE468" s="2">
        <v>6</v>
      </c>
      <c r="AF468" s="2" t="s">
        <v>518</v>
      </c>
      <c r="AG468" s="2" t="s">
        <v>130</v>
      </c>
      <c r="AH468" s="2" t="s">
        <v>131</v>
      </c>
      <c r="AI468" s="2" t="s">
        <v>192</v>
      </c>
      <c r="AJ468" s="23">
        <v>4</v>
      </c>
      <c r="AK468" s="23">
        <v>1789</v>
      </c>
      <c r="AL468" s="23">
        <v>4229</v>
      </c>
      <c r="AM468" s="24">
        <v>0.42303144951525101</v>
      </c>
      <c r="AN468" s="44" t="str">
        <f>VLOOKUP(flu_aw25[[#This Row],[trust_code]],trust_lookup[],3,0)</f>
        <v>LNW</v>
      </c>
    </row>
    <row r="469" spans="1:40" x14ac:dyDescent="0.35">
      <c r="A469" s="2" t="s">
        <v>519</v>
      </c>
      <c r="B469" s="2" t="s">
        <v>152</v>
      </c>
      <c r="C469" s="2" t="s">
        <v>153</v>
      </c>
      <c r="D469" s="2" t="s">
        <v>193</v>
      </c>
      <c r="E469" s="2" t="s">
        <v>81</v>
      </c>
      <c r="F469" s="2">
        <v>896</v>
      </c>
      <c r="G469" s="2">
        <v>224</v>
      </c>
      <c r="H469" s="14" t="str">
        <f>VLOOKUP(flu_group[[#This Row],[trust_code]],trust_lookup[],3,0)</f>
        <v>Oxleas</v>
      </c>
      <c r="I469" s="14" t="str">
        <f>VLOOKUP(flu_group[[#This Row],[trust_code]],trust_lookup[],4,0)</f>
        <v>Mental Health &amp; Community</v>
      </c>
      <c r="K469" s="2" t="s">
        <v>518</v>
      </c>
      <c r="L469" s="2" t="s">
        <v>76</v>
      </c>
      <c r="M469" s="2" t="s">
        <v>77</v>
      </c>
      <c r="N469" s="2" t="s">
        <v>194</v>
      </c>
      <c r="O469" s="2" t="s">
        <v>82</v>
      </c>
      <c r="P469" s="2">
        <v>49</v>
      </c>
      <c r="R469" s="43">
        <v>45670</v>
      </c>
      <c r="S469" s="2">
        <v>3</v>
      </c>
      <c r="T469" s="2" t="s">
        <v>519</v>
      </c>
      <c r="U469" s="2" t="s">
        <v>130</v>
      </c>
      <c r="V469" s="2" t="s">
        <v>131</v>
      </c>
      <c r="W469" s="2" t="s">
        <v>192</v>
      </c>
      <c r="X469" s="23">
        <v>17</v>
      </c>
      <c r="Y469" s="23">
        <v>1545</v>
      </c>
      <c r="Z469" s="23">
        <v>4229</v>
      </c>
      <c r="AA469" s="24">
        <v>0.36533459446677702</v>
      </c>
      <c r="AB469" s="14" t="str">
        <f>VLOOKUP(flu_aw24[[#This Row],[trust_code]],trust_lookup[],3,0)</f>
        <v>LNW</v>
      </c>
      <c r="AD469" s="43">
        <v>46069</v>
      </c>
      <c r="AE469" s="2">
        <v>8</v>
      </c>
      <c r="AF469" s="2" t="s">
        <v>518</v>
      </c>
      <c r="AG469" s="2" t="s">
        <v>130</v>
      </c>
      <c r="AH469" s="2" t="s">
        <v>131</v>
      </c>
      <c r="AI469" s="2" t="s">
        <v>192</v>
      </c>
      <c r="AJ469" s="23">
        <v>1</v>
      </c>
      <c r="AK469" s="23">
        <v>1790</v>
      </c>
      <c r="AL469" s="23">
        <v>4229</v>
      </c>
      <c r="AM469" s="24">
        <v>0.423267912035942</v>
      </c>
      <c r="AN469" s="44" t="str">
        <f>VLOOKUP(flu_aw25[[#This Row],[trust_code]],trust_lookup[],3,0)</f>
        <v>LNW</v>
      </c>
    </row>
    <row r="470" spans="1:40" x14ac:dyDescent="0.35">
      <c r="A470" s="2" t="s">
        <v>519</v>
      </c>
      <c r="B470" s="2" t="s">
        <v>152</v>
      </c>
      <c r="C470" s="2" t="s">
        <v>153</v>
      </c>
      <c r="D470" s="2" t="s">
        <v>193</v>
      </c>
      <c r="E470" s="2" t="s">
        <v>46</v>
      </c>
      <c r="F470" s="2">
        <v>2</v>
      </c>
      <c r="G470" s="2">
        <v>1</v>
      </c>
      <c r="H470" s="14" t="str">
        <f>VLOOKUP(flu_group[[#This Row],[trust_code]],trust_lookup[],3,0)</f>
        <v>Oxleas</v>
      </c>
      <c r="I470" s="14" t="str">
        <f>VLOOKUP(flu_group[[#This Row],[trust_code]],trust_lookup[],4,0)</f>
        <v>Mental Health &amp; Community</v>
      </c>
      <c r="K470" s="2" t="s">
        <v>518</v>
      </c>
      <c r="L470" s="2" t="s">
        <v>76</v>
      </c>
      <c r="M470" s="2" t="s">
        <v>77</v>
      </c>
      <c r="N470" s="2" t="s">
        <v>194</v>
      </c>
      <c r="O470" s="2" t="s">
        <v>88</v>
      </c>
      <c r="P470" s="2">
        <v>13</v>
      </c>
      <c r="R470" s="43">
        <v>45677</v>
      </c>
      <c r="S470" s="2">
        <v>4</v>
      </c>
      <c r="T470" s="2" t="s">
        <v>519</v>
      </c>
      <c r="U470" s="2" t="s">
        <v>130</v>
      </c>
      <c r="V470" s="2" t="s">
        <v>131</v>
      </c>
      <c r="W470" s="2" t="s">
        <v>192</v>
      </c>
      <c r="X470" s="23">
        <v>14</v>
      </c>
      <c r="Y470" s="23">
        <v>1559</v>
      </c>
      <c r="Z470" s="23">
        <v>4229</v>
      </c>
      <c r="AA470" s="24">
        <v>0.36864506975644301</v>
      </c>
      <c r="AB470" s="14" t="str">
        <f>VLOOKUP(flu_aw24[[#This Row],[trust_code]],trust_lookup[],3,0)</f>
        <v>LNW</v>
      </c>
      <c r="AD470" s="43">
        <v>46076</v>
      </c>
      <c r="AE470" s="2">
        <v>9</v>
      </c>
      <c r="AF470" s="2" t="s">
        <v>518</v>
      </c>
      <c r="AG470" s="2" t="s">
        <v>130</v>
      </c>
      <c r="AH470" s="2" t="s">
        <v>131</v>
      </c>
      <c r="AI470" s="2" t="s">
        <v>192</v>
      </c>
      <c r="AJ470" s="23">
        <v>2</v>
      </c>
      <c r="AK470" s="23">
        <v>1792</v>
      </c>
      <c r="AL470" s="23">
        <v>4229</v>
      </c>
      <c r="AM470" s="24">
        <v>0.42374083707732302</v>
      </c>
      <c r="AN470" s="44" t="str">
        <f>VLOOKUP(flu_aw25[[#This Row],[trust_code]],trust_lookup[],3,0)</f>
        <v>LNW</v>
      </c>
    </row>
    <row r="471" spans="1:40" x14ac:dyDescent="0.35">
      <c r="A471" s="2" t="s">
        <v>519</v>
      </c>
      <c r="B471" s="2" t="s">
        <v>152</v>
      </c>
      <c r="C471" s="2" t="s">
        <v>153</v>
      </c>
      <c r="D471" s="2" t="s">
        <v>193</v>
      </c>
      <c r="E471" s="2" t="s">
        <v>60</v>
      </c>
      <c r="F471" s="2">
        <v>370</v>
      </c>
      <c r="G471" s="2">
        <v>146</v>
      </c>
      <c r="H471" s="14" t="str">
        <f>VLOOKUP(flu_group[[#This Row],[trust_code]],trust_lookup[],3,0)</f>
        <v>Oxleas</v>
      </c>
      <c r="I471" s="14" t="str">
        <f>VLOOKUP(flu_group[[#This Row],[trust_code]],trust_lookup[],4,0)</f>
        <v>Mental Health &amp; Community</v>
      </c>
      <c r="K471" s="2" t="s">
        <v>518</v>
      </c>
      <c r="L471" s="2" t="s">
        <v>76</v>
      </c>
      <c r="M471" s="2" t="s">
        <v>77</v>
      </c>
      <c r="N471" s="2" t="s">
        <v>194</v>
      </c>
      <c r="O471" s="2" t="s">
        <v>141</v>
      </c>
      <c r="P471" s="2">
        <v>324</v>
      </c>
      <c r="R471" s="43">
        <v>45684</v>
      </c>
      <c r="S471" s="2">
        <v>5</v>
      </c>
      <c r="T471" s="2" t="s">
        <v>519</v>
      </c>
      <c r="U471" s="2" t="s">
        <v>130</v>
      </c>
      <c r="V471" s="2" t="s">
        <v>131</v>
      </c>
      <c r="W471" s="2" t="s">
        <v>192</v>
      </c>
      <c r="X471" s="23">
        <v>4</v>
      </c>
      <c r="Y471" s="23">
        <v>1563</v>
      </c>
      <c r="Z471" s="23">
        <v>4229</v>
      </c>
      <c r="AA471" s="24">
        <v>0.369590919839205</v>
      </c>
      <c r="AB471" s="14" t="str">
        <f>VLOOKUP(flu_aw24[[#This Row],[trust_code]],trust_lookup[],3,0)</f>
        <v>LNW</v>
      </c>
      <c r="AD471" s="43">
        <v>45915</v>
      </c>
      <c r="AE471" s="2">
        <v>38</v>
      </c>
      <c r="AF471" s="2" t="s">
        <v>518</v>
      </c>
      <c r="AG471" s="2" t="s">
        <v>187</v>
      </c>
      <c r="AH471" s="2" t="s">
        <v>188</v>
      </c>
      <c r="AI471" s="2" t="s">
        <v>192</v>
      </c>
      <c r="AJ471" s="23">
        <v>2</v>
      </c>
      <c r="AK471" s="23">
        <v>2</v>
      </c>
      <c r="AL471" s="23">
        <v>4258</v>
      </c>
      <c r="AM471" s="24">
        <v>4.69704086425551E-4</v>
      </c>
      <c r="AN471" s="44" t="str">
        <f>VLOOKUP(flu_aw25[[#This Row],[trust_code]],trust_lookup[],3,0)</f>
        <v>West London</v>
      </c>
    </row>
    <row r="472" spans="1:40" x14ac:dyDescent="0.35">
      <c r="A472" s="2" t="s">
        <v>519</v>
      </c>
      <c r="B472" s="2" t="s">
        <v>152</v>
      </c>
      <c r="C472" s="2" t="s">
        <v>153</v>
      </c>
      <c r="D472" s="2" t="s">
        <v>193</v>
      </c>
      <c r="E472" s="2" t="s">
        <v>28</v>
      </c>
      <c r="F472" s="2">
        <v>4</v>
      </c>
      <c r="G472" s="2">
        <v>2</v>
      </c>
      <c r="H472" s="14" t="str">
        <f>VLOOKUP(flu_group[[#This Row],[trust_code]],trust_lookup[],3,0)</f>
        <v>Oxleas</v>
      </c>
      <c r="I472" s="14" t="str">
        <f>VLOOKUP(flu_group[[#This Row],[trust_code]],trust_lookup[],4,0)</f>
        <v>Mental Health &amp; Community</v>
      </c>
      <c r="K472" s="2" t="s">
        <v>518</v>
      </c>
      <c r="L472" s="2" t="s">
        <v>76</v>
      </c>
      <c r="M472" s="2" t="s">
        <v>77</v>
      </c>
      <c r="N472" s="2" t="s">
        <v>194</v>
      </c>
      <c r="O472" s="2" t="s">
        <v>61</v>
      </c>
      <c r="P472" s="2">
        <v>26</v>
      </c>
      <c r="R472" s="43">
        <v>45691</v>
      </c>
      <c r="S472" s="2">
        <v>6</v>
      </c>
      <c r="T472" s="2" t="s">
        <v>519</v>
      </c>
      <c r="U472" s="2" t="s">
        <v>130</v>
      </c>
      <c r="V472" s="2" t="s">
        <v>131</v>
      </c>
      <c r="W472" s="2" t="s">
        <v>192</v>
      </c>
      <c r="X472" s="23">
        <v>6</v>
      </c>
      <c r="Y472" s="23">
        <v>1569</v>
      </c>
      <c r="Z472" s="23">
        <v>4229</v>
      </c>
      <c r="AA472" s="24">
        <v>0.37100969496334801</v>
      </c>
      <c r="AB472" s="14" t="str">
        <f>VLOOKUP(flu_aw24[[#This Row],[trust_code]],trust_lookup[],3,0)</f>
        <v>LNW</v>
      </c>
      <c r="AD472" s="43">
        <v>45929</v>
      </c>
      <c r="AE472" s="2">
        <v>40</v>
      </c>
      <c r="AF472" s="2" t="s">
        <v>518</v>
      </c>
      <c r="AG472" s="2" t="s">
        <v>187</v>
      </c>
      <c r="AH472" s="2" t="s">
        <v>188</v>
      </c>
      <c r="AI472" s="2" t="s">
        <v>192</v>
      </c>
      <c r="AJ472" s="23">
        <v>128</v>
      </c>
      <c r="AK472" s="23">
        <v>130</v>
      </c>
      <c r="AL472" s="23">
        <v>4258</v>
      </c>
      <c r="AM472" s="24">
        <v>3.0530765617660799E-2</v>
      </c>
      <c r="AN472" s="44" t="str">
        <f>VLOOKUP(flu_aw25[[#This Row],[trust_code]],trust_lookup[],3,0)</f>
        <v>West London</v>
      </c>
    </row>
    <row r="473" spans="1:40" x14ac:dyDescent="0.35">
      <c r="A473" s="2" t="s">
        <v>519</v>
      </c>
      <c r="B473" s="2" t="s">
        <v>152</v>
      </c>
      <c r="C473" s="2" t="s">
        <v>153</v>
      </c>
      <c r="D473" s="2" t="s">
        <v>193</v>
      </c>
      <c r="E473" s="2" t="s">
        <v>42</v>
      </c>
      <c r="F473" s="2">
        <v>152</v>
      </c>
      <c r="G473" s="2">
        <v>59</v>
      </c>
      <c r="H473" s="14" t="str">
        <f>VLOOKUP(flu_group[[#This Row],[trust_code]],trust_lookup[],3,0)</f>
        <v>Oxleas</v>
      </c>
      <c r="I473" s="14" t="str">
        <f>VLOOKUP(flu_group[[#This Row],[trust_code]],trust_lookup[],4,0)</f>
        <v>Mental Health &amp; Community</v>
      </c>
      <c r="K473" s="2" t="s">
        <v>518</v>
      </c>
      <c r="L473" s="2" t="s">
        <v>76</v>
      </c>
      <c r="M473" s="2" t="s">
        <v>77</v>
      </c>
      <c r="N473" s="2" t="s">
        <v>194</v>
      </c>
      <c r="O473" s="2" t="s">
        <v>100</v>
      </c>
      <c r="P473" s="2">
        <v>218</v>
      </c>
      <c r="R473" s="43">
        <v>45698</v>
      </c>
      <c r="S473" s="2">
        <v>7</v>
      </c>
      <c r="T473" s="2" t="s">
        <v>519</v>
      </c>
      <c r="U473" s="2" t="s">
        <v>130</v>
      </c>
      <c r="V473" s="2" t="s">
        <v>131</v>
      </c>
      <c r="W473" s="2" t="s">
        <v>192</v>
      </c>
      <c r="X473" s="23">
        <v>7</v>
      </c>
      <c r="Y473" s="23">
        <v>1576</v>
      </c>
      <c r="Z473" s="23">
        <v>4229</v>
      </c>
      <c r="AA473" s="24">
        <v>0.37266493260818101</v>
      </c>
      <c r="AB473" s="14" t="str">
        <f>VLOOKUP(flu_aw24[[#This Row],[trust_code]],trust_lookup[],3,0)</f>
        <v>LNW</v>
      </c>
      <c r="AD473" s="43">
        <v>45936</v>
      </c>
      <c r="AE473" s="2">
        <v>41</v>
      </c>
      <c r="AF473" s="2" t="s">
        <v>518</v>
      </c>
      <c r="AG473" s="2" t="s">
        <v>187</v>
      </c>
      <c r="AH473" s="2" t="s">
        <v>188</v>
      </c>
      <c r="AI473" s="2" t="s">
        <v>192</v>
      </c>
      <c r="AJ473" s="23">
        <v>219</v>
      </c>
      <c r="AK473" s="23">
        <v>349</v>
      </c>
      <c r="AL473" s="23">
        <v>4258</v>
      </c>
      <c r="AM473" s="24">
        <v>8.1963363081258803E-2</v>
      </c>
      <c r="AN473" s="44" t="str">
        <f>VLOOKUP(flu_aw25[[#This Row],[trust_code]],trust_lookup[],3,0)</f>
        <v>West London</v>
      </c>
    </row>
    <row r="474" spans="1:40" x14ac:dyDescent="0.35">
      <c r="A474" s="2" t="s">
        <v>519</v>
      </c>
      <c r="B474" s="2" t="s">
        <v>152</v>
      </c>
      <c r="C474" s="2" t="s">
        <v>153</v>
      </c>
      <c r="D474" s="2" t="s">
        <v>193</v>
      </c>
      <c r="E474" s="2" t="s">
        <v>53</v>
      </c>
      <c r="F474" s="2">
        <v>1233</v>
      </c>
      <c r="G474" s="2">
        <v>387</v>
      </c>
      <c r="H474" s="14" t="str">
        <f>VLOOKUP(flu_group[[#This Row],[trust_code]],trust_lookup[],3,0)</f>
        <v>Oxleas</v>
      </c>
      <c r="I474" s="14" t="str">
        <f>VLOOKUP(flu_group[[#This Row],[trust_code]],trust_lookup[],4,0)</f>
        <v>Mental Health &amp; Community</v>
      </c>
      <c r="K474" s="2" t="s">
        <v>518</v>
      </c>
      <c r="L474" s="2" t="s">
        <v>76</v>
      </c>
      <c r="M474" s="2" t="s">
        <v>77</v>
      </c>
      <c r="N474" s="2" t="s">
        <v>194</v>
      </c>
      <c r="O474" s="2" t="s">
        <v>75</v>
      </c>
      <c r="P474" s="2">
        <v>59</v>
      </c>
      <c r="R474" s="43">
        <v>45705</v>
      </c>
      <c r="S474" s="2">
        <v>8</v>
      </c>
      <c r="T474" s="2" t="s">
        <v>519</v>
      </c>
      <c r="U474" s="2" t="s">
        <v>130</v>
      </c>
      <c r="V474" s="2" t="s">
        <v>131</v>
      </c>
      <c r="W474" s="2" t="s">
        <v>192</v>
      </c>
      <c r="X474" s="23">
        <v>10</v>
      </c>
      <c r="Y474" s="23">
        <v>1586</v>
      </c>
      <c r="Z474" s="23">
        <v>4229</v>
      </c>
      <c r="AA474" s="24">
        <v>0.37502955781508601</v>
      </c>
      <c r="AB474" s="14" t="str">
        <f>VLOOKUP(flu_aw24[[#This Row],[trust_code]],trust_lookup[],3,0)</f>
        <v>LNW</v>
      </c>
      <c r="AD474" s="43">
        <v>45943</v>
      </c>
      <c r="AE474" s="2">
        <v>42</v>
      </c>
      <c r="AF474" s="2" t="s">
        <v>518</v>
      </c>
      <c r="AG474" s="2" t="s">
        <v>187</v>
      </c>
      <c r="AH474" s="2" t="s">
        <v>188</v>
      </c>
      <c r="AI474" s="2" t="s">
        <v>192</v>
      </c>
      <c r="AJ474" s="23">
        <v>183</v>
      </c>
      <c r="AK474" s="23">
        <v>532</v>
      </c>
      <c r="AL474" s="23">
        <v>4258</v>
      </c>
      <c r="AM474" s="24">
        <v>0.124941286989196</v>
      </c>
      <c r="AN474" s="44" t="str">
        <f>VLOOKUP(flu_aw25[[#This Row],[trust_code]],trust_lookup[],3,0)</f>
        <v>West London</v>
      </c>
    </row>
    <row r="475" spans="1:40" x14ac:dyDescent="0.35">
      <c r="A475" s="2" t="s">
        <v>519</v>
      </c>
      <c r="B475" s="2" t="s">
        <v>152</v>
      </c>
      <c r="C475" s="2" t="s">
        <v>153</v>
      </c>
      <c r="D475" s="2" t="s">
        <v>193</v>
      </c>
      <c r="E475" s="2" t="s">
        <v>35</v>
      </c>
      <c r="F475" s="2">
        <v>6</v>
      </c>
      <c r="G475" s="2">
        <v>2</v>
      </c>
      <c r="H475" s="14" t="str">
        <f>VLOOKUP(flu_group[[#This Row],[trust_code]],trust_lookup[],3,0)</f>
        <v>Oxleas</v>
      </c>
      <c r="I475" s="14" t="str">
        <f>VLOOKUP(flu_group[[#This Row],[trust_code]],trust_lookup[],4,0)</f>
        <v>Mental Health &amp; Community</v>
      </c>
      <c r="K475" s="2" t="s">
        <v>518</v>
      </c>
      <c r="L475" s="2" t="s">
        <v>76</v>
      </c>
      <c r="M475" s="2" t="s">
        <v>77</v>
      </c>
      <c r="N475" s="2" t="s">
        <v>194</v>
      </c>
      <c r="O475" s="2" t="s">
        <v>106</v>
      </c>
      <c r="P475" s="2">
        <v>31</v>
      </c>
      <c r="R475" s="43">
        <v>45551</v>
      </c>
      <c r="S475" s="2">
        <v>38</v>
      </c>
      <c r="T475" s="2" t="s">
        <v>519</v>
      </c>
      <c r="U475" s="2" t="s">
        <v>136</v>
      </c>
      <c r="V475" s="2" t="s">
        <v>137</v>
      </c>
      <c r="W475" s="2" t="s">
        <v>27</v>
      </c>
      <c r="X475" s="23">
        <v>2</v>
      </c>
      <c r="Y475" s="23">
        <v>2</v>
      </c>
      <c r="Z475" s="23">
        <v>1794</v>
      </c>
      <c r="AA475" s="24">
        <v>1.11482720178372E-3</v>
      </c>
      <c r="AB475" s="14" t="str">
        <f>VLOOKUP(flu_aw24[[#This Row],[trust_code]],trust_lookup[],3,0)</f>
        <v>Moorfields</v>
      </c>
      <c r="AD475" s="43">
        <v>45950</v>
      </c>
      <c r="AE475" s="2">
        <v>43</v>
      </c>
      <c r="AF475" s="2" t="s">
        <v>518</v>
      </c>
      <c r="AG475" s="2" t="s">
        <v>187</v>
      </c>
      <c r="AH475" s="2" t="s">
        <v>188</v>
      </c>
      <c r="AI475" s="2" t="s">
        <v>192</v>
      </c>
      <c r="AJ475" s="23">
        <v>126</v>
      </c>
      <c r="AK475" s="23">
        <v>658</v>
      </c>
      <c r="AL475" s="23">
        <v>4258</v>
      </c>
      <c r="AM475" s="24">
        <v>0.15453264443400599</v>
      </c>
      <c r="AN475" s="44" t="str">
        <f>VLOOKUP(flu_aw25[[#This Row],[trust_code]],trust_lookup[],3,0)</f>
        <v>West London</v>
      </c>
    </row>
    <row r="476" spans="1:40" x14ac:dyDescent="0.35">
      <c r="A476" s="2" t="s">
        <v>519</v>
      </c>
      <c r="B476" s="2" t="s">
        <v>164</v>
      </c>
      <c r="C476" s="2" t="s">
        <v>165</v>
      </c>
      <c r="D476" s="2" t="s">
        <v>193</v>
      </c>
      <c r="E476" s="2" t="s">
        <v>67</v>
      </c>
      <c r="F476" s="2">
        <v>1299</v>
      </c>
      <c r="G476" s="2">
        <v>487</v>
      </c>
      <c r="H476" s="14" t="str">
        <f>VLOOKUP(flu_group[[#This Row],[trust_code]],trust_lookup[],3,0)</f>
        <v>SLAM</v>
      </c>
      <c r="I476" s="14" t="str">
        <f>VLOOKUP(flu_group[[#This Row],[trust_code]],trust_lookup[],4,0)</f>
        <v>Mental Health</v>
      </c>
      <c r="K476" s="2" t="s">
        <v>518</v>
      </c>
      <c r="L476" s="2" t="s">
        <v>76</v>
      </c>
      <c r="M476" s="2" t="s">
        <v>77</v>
      </c>
      <c r="N476" s="2" t="s">
        <v>194</v>
      </c>
      <c r="O476" s="2" t="s">
        <v>112</v>
      </c>
      <c r="P476" s="2">
        <v>148</v>
      </c>
      <c r="R476" s="43">
        <v>45558</v>
      </c>
      <c r="S476" s="2">
        <v>39</v>
      </c>
      <c r="T476" s="2" t="s">
        <v>519</v>
      </c>
      <c r="U476" s="2" t="s">
        <v>136</v>
      </c>
      <c r="V476" s="2" t="s">
        <v>137</v>
      </c>
      <c r="W476" s="2" t="s">
        <v>27</v>
      </c>
      <c r="X476" s="23">
        <v>5</v>
      </c>
      <c r="Y476" s="23">
        <v>7</v>
      </c>
      <c r="Z476" s="23">
        <v>1794</v>
      </c>
      <c r="AA476" s="24">
        <v>3.9018952062430299E-3</v>
      </c>
      <c r="AB476" s="14" t="str">
        <f>VLOOKUP(flu_aw24[[#This Row],[trust_code]],trust_lookup[],3,0)</f>
        <v>Moorfields</v>
      </c>
      <c r="AD476" s="43">
        <v>45957</v>
      </c>
      <c r="AE476" s="2">
        <v>44</v>
      </c>
      <c r="AF476" s="2" t="s">
        <v>518</v>
      </c>
      <c r="AG476" s="2" t="s">
        <v>187</v>
      </c>
      <c r="AH476" s="2" t="s">
        <v>188</v>
      </c>
      <c r="AI476" s="2" t="s">
        <v>192</v>
      </c>
      <c r="AJ476" s="23">
        <v>92</v>
      </c>
      <c r="AK476" s="23">
        <v>750</v>
      </c>
      <c r="AL476" s="23">
        <v>4258</v>
      </c>
      <c r="AM476" s="24">
        <v>0.17613903240958101</v>
      </c>
      <c r="AN476" s="44" t="str">
        <f>VLOOKUP(flu_aw25[[#This Row],[trust_code]],trust_lookup[],3,0)</f>
        <v>West London</v>
      </c>
    </row>
    <row r="477" spans="1:40" x14ac:dyDescent="0.35">
      <c r="A477" s="2" t="s">
        <v>519</v>
      </c>
      <c r="B477" s="2" t="s">
        <v>164</v>
      </c>
      <c r="C477" s="2" t="s">
        <v>165</v>
      </c>
      <c r="D477" s="2" t="s">
        <v>193</v>
      </c>
      <c r="E477" s="2" t="s">
        <v>81</v>
      </c>
      <c r="F477" s="2">
        <v>903</v>
      </c>
      <c r="G477" s="2">
        <v>197</v>
      </c>
      <c r="H477" s="14" t="str">
        <f>VLOOKUP(flu_group[[#This Row],[trust_code]],trust_lookup[],3,0)</f>
        <v>SLAM</v>
      </c>
      <c r="I477" s="14" t="str">
        <f>VLOOKUP(flu_group[[#This Row],[trust_code]],trust_lookup[],4,0)</f>
        <v>Mental Health</v>
      </c>
      <c r="K477" s="2" t="s">
        <v>518</v>
      </c>
      <c r="L477" s="2" t="s">
        <v>76</v>
      </c>
      <c r="M477" s="2" t="s">
        <v>77</v>
      </c>
      <c r="N477" s="2" t="s">
        <v>194</v>
      </c>
      <c r="O477" s="2" t="s">
        <v>36</v>
      </c>
      <c r="P477" s="2">
        <v>125</v>
      </c>
      <c r="R477" s="43">
        <v>45565</v>
      </c>
      <c r="S477" s="2">
        <v>40</v>
      </c>
      <c r="T477" s="2" t="s">
        <v>519</v>
      </c>
      <c r="U477" s="2" t="s">
        <v>136</v>
      </c>
      <c r="V477" s="2" t="s">
        <v>137</v>
      </c>
      <c r="W477" s="2" t="s">
        <v>27</v>
      </c>
      <c r="X477" s="23">
        <v>82</v>
      </c>
      <c r="Y477" s="23">
        <v>89</v>
      </c>
      <c r="Z477" s="23">
        <v>1794</v>
      </c>
      <c r="AA477" s="24">
        <v>4.9609810479375599E-2</v>
      </c>
      <c r="AB477" s="14" t="str">
        <f>VLOOKUP(flu_aw24[[#This Row],[trust_code]],trust_lookup[],3,0)</f>
        <v>Moorfields</v>
      </c>
      <c r="AD477" s="43">
        <v>45964</v>
      </c>
      <c r="AE477" s="2">
        <v>45</v>
      </c>
      <c r="AF477" s="2" t="s">
        <v>518</v>
      </c>
      <c r="AG477" s="2" t="s">
        <v>187</v>
      </c>
      <c r="AH477" s="2" t="s">
        <v>188</v>
      </c>
      <c r="AI477" s="2" t="s">
        <v>192</v>
      </c>
      <c r="AJ477" s="23">
        <v>138</v>
      </c>
      <c r="AK477" s="23">
        <v>888</v>
      </c>
      <c r="AL477" s="23">
        <v>4258</v>
      </c>
      <c r="AM477" s="24">
        <v>0.208548614372945</v>
      </c>
      <c r="AN477" s="44" t="str">
        <f>VLOOKUP(flu_aw25[[#This Row],[trust_code]],trust_lookup[],3,0)</f>
        <v>West London</v>
      </c>
    </row>
    <row r="478" spans="1:40" x14ac:dyDescent="0.35">
      <c r="A478" s="2" t="s">
        <v>519</v>
      </c>
      <c r="B478" s="2" t="s">
        <v>164</v>
      </c>
      <c r="C478" s="2" t="s">
        <v>165</v>
      </c>
      <c r="D478" s="2" t="s">
        <v>193</v>
      </c>
      <c r="E478" s="2" t="s">
        <v>46</v>
      </c>
      <c r="F478" s="2">
        <v>4</v>
      </c>
      <c r="G478" s="2">
        <v>2</v>
      </c>
      <c r="H478" s="14" t="str">
        <f>VLOOKUP(flu_group[[#This Row],[trust_code]],trust_lookup[],3,0)</f>
        <v>SLAM</v>
      </c>
      <c r="I478" s="14" t="str">
        <f>VLOOKUP(flu_group[[#This Row],[trust_code]],trust_lookup[],4,0)</f>
        <v>Mental Health</v>
      </c>
      <c r="K478" s="2" t="s">
        <v>518</v>
      </c>
      <c r="L478" s="2" t="s">
        <v>113</v>
      </c>
      <c r="M478" s="2" t="s">
        <v>114</v>
      </c>
      <c r="N478" s="2" t="s">
        <v>194</v>
      </c>
      <c r="O478" s="2" t="s">
        <v>68</v>
      </c>
      <c r="P478" s="2">
        <v>775</v>
      </c>
      <c r="R478" s="43">
        <v>45572</v>
      </c>
      <c r="S478" s="2">
        <v>41</v>
      </c>
      <c r="T478" s="2" t="s">
        <v>519</v>
      </c>
      <c r="U478" s="2" t="s">
        <v>136</v>
      </c>
      <c r="V478" s="2" t="s">
        <v>137</v>
      </c>
      <c r="W478" s="2" t="s">
        <v>27</v>
      </c>
      <c r="X478" s="23">
        <v>201</v>
      </c>
      <c r="Y478" s="23">
        <v>290</v>
      </c>
      <c r="Z478" s="23">
        <v>1794</v>
      </c>
      <c r="AA478" s="24">
        <v>0.16164994425863899</v>
      </c>
      <c r="AB478" s="14" t="str">
        <f>VLOOKUP(flu_aw24[[#This Row],[trust_code]],trust_lookup[],3,0)</f>
        <v>Moorfields</v>
      </c>
      <c r="AD478" s="43">
        <v>45971</v>
      </c>
      <c r="AE478" s="2">
        <v>46</v>
      </c>
      <c r="AF478" s="2" t="s">
        <v>518</v>
      </c>
      <c r="AG478" s="2" t="s">
        <v>187</v>
      </c>
      <c r="AH478" s="2" t="s">
        <v>188</v>
      </c>
      <c r="AI478" s="2" t="s">
        <v>192</v>
      </c>
      <c r="AJ478" s="23">
        <v>97</v>
      </c>
      <c r="AK478" s="23">
        <v>985</v>
      </c>
      <c r="AL478" s="23">
        <v>4258</v>
      </c>
      <c r="AM478" s="24">
        <v>0.231329262564584</v>
      </c>
      <c r="AN478" s="44" t="str">
        <f>VLOOKUP(flu_aw25[[#This Row],[trust_code]],trust_lookup[],3,0)</f>
        <v>West London</v>
      </c>
    </row>
    <row r="479" spans="1:40" x14ac:dyDescent="0.35">
      <c r="A479" s="2" t="s">
        <v>519</v>
      </c>
      <c r="B479" s="2" t="s">
        <v>164</v>
      </c>
      <c r="C479" s="2" t="s">
        <v>165</v>
      </c>
      <c r="D479" s="2" t="s">
        <v>193</v>
      </c>
      <c r="E479" s="2" t="s">
        <v>60</v>
      </c>
      <c r="F479" s="2">
        <v>178</v>
      </c>
      <c r="G479" s="2">
        <v>71</v>
      </c>
      <c r="H479" s="14" t="str">
        <f>VLOOKUP(flu_group[[#This Row],[trust_code]],trust_lookup[],3,0)</f>
        <v>SLAM</v>
      </c>
      <c r="I479" s="14" t="str">
        <f>VLOOKUP(flu_group[[#This Row],[trust_code]],trust_lookup[],4,0)</f>
        <v>Mental Health</v>
      </c>
      <c r="K479" s="2" t="s">
        <v>518</v>
      </c>
      <c r="L479" s="2" t="s">
        <v>113</v>
      </c>
      <c r="M479" s="2" t="s">
        <v>114</v>
      </c>
      <c r="N479" s="2" t="s">
        <v>194</v>
      </c>
      <c r="O479" s="2" t="s">
        <v>135</v>
      </c>
      <c r="P479" s="2">
        <v>28</v>
      </c>
      <c r="R479" s="43">
        <v>45579</v>
      </c>
      <c r="S479" s="2">
        <v>42</v>
      </c>
      <c r="T479" s="2" t="s">
        <v>519</v>
      </c>
      <c r="U479" s="2" t="s">
        <v>136</v>
      </c>
      <c r="V479" s="2" t="s">
        <v>137</v>
      </c>
      <c r="W479" s="2" t="s">
        <v>27</v>
      </c>
      <c r="X479" s="23">
        <v>140</v>
      </c>
      <c r="Y479" s="23">
        <v>430</v>
      </c>
      <c r="Z479" s="23">
        <v>1794</v>
      </c>
      <c r="AA479" s="24">
        <v>0.23968784838349999</v>
      </c>
      <c r="AB479" s="14" t="str">
        <f>VLOOKUP(flu_aw24[[#This Row],[trust_code]],trust_lookup[],3,0)</f>
        <v>Moorfields</v>
      </c>
      <c r="AD479" s="43">
        <v>45978</v>
      </c>
      <c r="AE479" s="2">
        <v>47</v>
      </c>
      <c r="AF479" s="2" t="s">
        <v>518</v>
      </c>
      <c r="AG479" s="2" t="s">
        <v>187</v>
      </c>
      <c r="AH479" s="2" t="s">
        <v>188</v>
      </c>
      <c r="AI479" s="2" t="s">
        <v>192</v>
      </c>
      <c r="AJ479" s="23">
        <v>91</v>
      </c>
      <c r="AK479" s="23">
        <v>1076</v>
      </c>
      <c r="AL479" s="23">
        <v>4258</v>
      </c>
      <c r="AM479" s="24">
        <v>0.25270079849694599</v>
      </c>
      <c r="AN479" s="44" t="str">
        <f>VLOOKUP(flu_aw25[[#This Row],[trust_code]],trust_lookup[],3,0)</f>
        <v>West London</v>
      </c>
    </row>
    <row r="480" spans="1:40" x14ac:dyDescent="0.35">
      <c r="A480" s="2" t="s">
        <v>519</v>
      </c>
      <c r="B480" s="2" t="s">
        <v>164</v>
      </c>
      <c r="C480" s="2" t="s">
        <v>165</v>
      </c>
      <c r="D480" s="2" t="s">
        <v>193</v>
      </c>
      <c r="E480" s="2" t="s">
        <v>28</v>
      </c>
      <c r="F480" s="2">
        <v>100</v>
      </c>
      <c r="G480" s="2">
        <v>30</v>
      </c>
      <c r="H480" s="14" t="str">
        <f>VLOOKUP(flu_group[[#This Row],[trust_code]],trust_lookup[],3,0)</f>
        <v>SLAM</v>
      </c>
      <c r="I480" s="14" t="str">
        <f>VLOOKUP(flu_group[[#This Row],[trust_code]],trust_lookup[],4,0)</f>
        <v>Mental Health</v>
      </c>
      <c r="K480" s="2" t="s">
        <v>518</v>
      </c>
      <c r="L480" s="2" t="s">
        <v>113</v>
      </c>
      <c r="M480" s="2" t="s">
        <v>114</v>
      </c>
      <c r="N480" s="2" t="s">
        <v>194</v>
      </c>
      <c r="O480" s="2" t="s">
        <v>54</v>
      </c>
      <c r="P480" s="2">
        <v>168</v>
      </c>
      <c r="R480" s="43">
        <v>45586</v>
      </c>
      <c r="S480" s="2">
        <v>43</v>
      </c>
      <c r="T480" s="2" t="s">
        <v>519</v>
      </c>
      <c r="U480" s="2" t="s">
        <v>136</v>
      </c>
      <c r="V480" s="2" t="s">
        <v>137</v>
      </c>
      <c r="W480" s="2" t="s">
        <v>27</v>
      </c>
      <c r="X480" s="23">
        <v>114</v>
      </c>
      <c r="Y480" s="23">
        <v>544</v>
      </c>
      <c r="Z480" s="23">
        <v>1794</v>
      </c>
      <c r="AA480" s="24">
        <v>0.30323299888517202</v>
      </c>
      <c r="AB480" s="14" t="str">
        <f>VLOOKUP(flu_aw24[[#This Row],[trust_code]],trust_lookup[],3,0)</f>
        <v>Moorfields</v>
      </c>
      <c r="AD480" s="43">
        <v>45985</v>
      </c>
      <c r="AE480" s="2">
        <v>48</v>
      </c>
      <c r="AF480" s="2" t="s">
        <v>518</v>
      </c>
      <c r="AG480" s="2" t="s">
        <v>187</v>
      </c>
      <c r="AH480" s="2" t="s">
        <v>188</v>
      </c>
      <c r="AI480" s="2" t="s">
        <v>192</v>
      </c>
      <c r="AJ480" s="23">
        <v>72</v>
      </c>
      <c r="AK480" s="23">
        <v>1148</v>
      </c>
      <c r="AL480" s="23">
        <v>4258</v>
      </c>
      <c r="AM480" s="24">
        <v>0.26961014560826602</v>
      </c>
      <c r="AN480" s="44" t="str">
        <f>VLOOKUP(flu_aw25[[#This Row],[trust_code]],trust_lookup[],3,0)</f>
        <v>West London</v>
      </c>
    </row>
    <row r="481" spans="1:40" x14ac:dyDescent="0.35">
      <c r="A481" s="2" t="s">
        <v>519</v>
      </c>
      <c r="B481" s="2" t="s">
        <v>164</v>
      </c>
      <c r="C481" s="2" t="s">
        <v>165</v>
      </c>
      <c r="D481" s="2" t="s">
        <v>193</v>
      </c>
      <c r="E481" s="2" t="s">
        <v>74</v>
      </c>
      <c r="F481" s="2">
        <v>5</v>
      </c>
      <c r="G481" s="2">
        <v>1</v>
      </c>
      <c r="H481" s="14" t="str">
        <f>VLOOKUP(flu_group[[#This Row],[trust_code]],trust_lookup[],3,0)</f>
        <v>SLAM</v>
      </c>
      <c r="I481" s="14" t="str">
        <f>VLOOKUP(flu_group[[#This Row],[trust_code]],trust_lookup[],4,0)</f>
        <v>Mental Health</v>
      </c>
      <c r="K481" s="2" t="s">
        <v>518</v>
      </c>
      <c r="L481" s="2" t="s">
        <v>113</v>
      </c>
      <c r="M481" s="2" t="s">
        <v>114</v>
      </c>
      <c r="N481" s="2" t="s">
        <v>194</v>
      </c>
      <c r="O481" s="2" t="s">
        <v>129</v>
      </c>
      <c r="P481" s="2">
        <v>3</v>
      </c>
      <c r="R481" s="43">
        <v>45593</v>
      </c>
      <c r="S481" s="2">
        <v>44</v>
      </c>
      <c r="T481" s="2" t="s">
        <v>519</v>
      </c>
      <c r="U481" s="2" t="s">
        <v>136</v>
      </c>
      <c r="V481" s="2" t="s">
        <v>137</v>
      </c>
      <c r="W481" s="2" t="s">
        <v>27</v>
      </c>
      <c r="X481" s="23">
        <v>62</v>
      </c>
      <c r="Y481" s="23">
        <v>606</v>
      </c>
      <c r="Z481" s="23">
        <v>1794</v>
      </c>
      <c r="AA481" s="24">
        <v>0.337792642140468</v>
      </c>
      <c r="AB481" s="14" t="str">
        <f>VLOOKUP(flu_aw24[[#This Row],[trust_code]],trust_lookup[],3,0)</f>
        <v>Moorfields</v>
      </c>
      <c r="AD481" s="43">
        <v>45992</v>
      </c>
      <c r="AE481" s="2">
        <v>49</v>
      </c>
      <c r="AF481" s="2" t="s">
        <v>518</v>
      </c>
      <c r="AG481" s="2" t="s">
        <v>187</v>
      </c>
      <c r="AH481" s="2" t="s">
        <v>188</v>
      </c>
      <c r="AI481" s="2" t="s">
        <v>192</v>
      </c>
      <c r="AJ481" s="23">
        <v>74</v>
      </c>
      <c r="AK481" s="23">
        <v>1222</v>
      </c>
      <c r="AL481" s="23">
        <v>4258</v>
      </c>
      <c r="AM481" s="24">
        <v>0.28698919680601198</v>
      </c>
      <c r="AN481" s="44" t="str">
        <f>VLOOKUP(flu_aw25[[#This Row],[trust_code]],trust_lookup[],3,0)</f>
        <v>West London</v>
      </c>
    </row>
    <row r="482" spans="1:40" x14ac:dyDescent="0.35">
      <c r="A482" s="2" t="s">
        <v>519</v>
      </c>
      <c r="B482" s="2" t="s">
        <v>164</v>
      </c>
      <c r="C482" s="2" t="s">
        <v>165</v>
      </c>
      <c r="D482" s="2" t="s">
        <v>193</v>
      </c>
      <c r="E482" s="2" t="s">
        <v>42</v>
      </c>
      <c r="F482" s="2">
        <v>502</v>
      </c>
      <c r="G482" s="2">
        <v>225</v>
      </c>
      <c r="H482" s="14" t="str">
        <f>VLOOKUP(flu_group[[#This Row],[trust_code]],trust_lookup[],3,0)</f>
        <v>SLAM</v>
      </c>
      <c r="I482" s="14" t="str">
        <f>VLOOKUP(flu_group[[#This Row],[trust_code]],trust_lookup[],4,0)</f>
        <v>Mental Health</v>
      </c>
      <c r="K482" s="2" t="s">
        <v>518</v>
      </c>
      <c r="L482" s="2" t="s">
        <v>113</v>
      </c>
      <c r="M482" s="2" t="s">
        <v>114</v>
      </c>
      <c r="N482" s="2" t="s">
        <v>194</v>
      </c>
      <c r="O482" s="2" t="s">
        <v>47</v>
      </c>
      <c r="P482" s="2">
        <v>12</v>
      </c>
      <c r="R482" s="43">
        <v>45600</v>
      </c>
      <c r="S482" s="2">
        <v>45</v>
      </c>
      <c r="T482" s="2" t="s">
        <v>519</v>
      </c>
      <c r="U482" s="2" t="s">
        <v>136</v>
      </c>
      <c r="V482" s="2" t="s">
        <v>137</v>
      </c>
      <c r="W482" s="2" t="s">
        <v>27</v>
      </c>
      <c r="X482" s="23">
        <v>45</v>
      </c>
      <c r="Y482" s="23">
        <v>651</v>
      </c>
      <c r="Z482" s="23">
        <v>1794</v>
      </c>
      <c r="AA482" s="24">
        <v>0.36287625418060199</v>
      </c>
      <c r="AB482" s="14" t="str">
        <f>VLOOKUP(flu_aw24[[#This Row],[trust_code]],trust_lookup[],3,0)</f>
        <v>Moorfields</v>
      </c>
      <c r="AD482" s="43">
        <v>45999</v>
      </c>
      <c r="AE482" s="2">
        <v>50</v>
      </c>
      <c r="AF482" s="2" t="s">
        <v>518</v>
      </c>
      <c r="AG482" s="2" t="s">
        <v>187</v>
      </c>
      <c r="AH482" s="2" t="s">
        <v>188</v>
      </c>
      <c r="AI482" s="2" t="s">
        <v>192</v>
      </c>
      <c r="AJ482" s="23">
        <v>79</v>
      </c>
      <c r="AK482" s="23">
        <v>1301</v>
      </c>
      <c r="AL482" s="23">
        <v>4258</v>
      </c>
      <c r="AM482" s="24">
        <v>0.30554250821982099</v>
      </c>
      <c r="AN482" s="44" t="str">
        <f>VLOOKUP(flu_aw25[[#This Row],[trust_code]],trust_lookup[],3,0)</f>
        <v>West London</v>
      </c>
    </row>
    <row r="483" spans="1:40" x14ac:dyDescent="0.35">
      <c r="A483" s="2" t="s">
        <v>519</v>
      </c>
      <c r="B483" s="2" t="s">
        <v>164</v>
      </c>
      <c r="C483" s="2" t="s">
        <v>165</v>
      </c>
      <c r="D483" s="2" t="s">
        <v>193</v>
      </c>
      <c r="E483" s="2" t="s">
        <v>53</v>
      </c>
      <c r="F483" s="2">
        <v>1102</v>
      </c>
      <c r="G483" s="2">
        <v>292</v>
      </c>
      <c r="H483" s="14" t="str">
        <f>VLOOKUP(flu_group[[#This Row],[trust_code]],trust_lookup[],3,0)</f>
        <v>SLAM</v>
      </c>
      <c r="I483" s="14" t="str">
        <f>VLOOKUP(flu_group[[#This Row],[trust_code]],trust_lookup[],4,0)</f>
        <v>Mental Health</v>
      </c>
      <c r="K483" s="2" t="s">
        <v>518</v>
      </c>
      <c r="L483" s="2" t="s">
        <v>113</v>
      </c>
      <c r="M483" s="2" t="s">
        <v>114</v>
      </c>
      <c r="N483" s="2" t="s">
        <v>194</v>
      </c>
      <c r="O483" s="2" t="s">
        <v>94</v>
      </c>
      <c r="P483" s="2">
        <v>13</v>
      </c>
      <c r="R483" s="43">
        <v>45607</v>
      </c>
      <c r="S483" s="2">
        <v>46</v>
      </c>
      <c r="T483" s="2" t="s">
        <v>519</v>
      </c>
      <c r="U483" s="2" t="s">
        <v>136</v>
      </c>
      <c r="V483" s="2" t="s">
        <v>137</v>
      </c>
      <c r="W483" s="2" t="s">
        <v>27</v>
      </c>
      <c r="X483" s="23">
        <v>40</v>
      </c>
      <c r="Y483" s="23">
        <v>691</v>
      </c>
      <c r="Z483" s="23">
        <v>1794</v>
      </c>
      <c r="AA483" s="24">
        <v>0.38517279821627598</v>
      </c>
      <c r="AB483" s="14" t="str">
        <f>VLOOKUP(flu_aw24[[#This Row],[trust_code]],trust_lookup[],3,0)</f>
        <v>Moorfields</v>
      </c>
      <c r="AD483" s="43">
        <v>46006</v>
      </c>
      <c r="AE483" s="2">
        <v>51</v>
      </c>
      <c r="AF483" s="2" t="s">
        <v>518</v>
      </c>
      <c r="AG483" s="2" t="s">
        <v>187</v>
      </c>
      <c r="AH483" s="2" t="s">
        <v>188</v>
      </c>
      <c r="AI483" s="2" t="s">
        <v>192</v>
      </c>
      <c r="AJ483" s="23">
        <v>67</v>
      </c>
      <c r="AK483" s="23">
        <v>1368</v>
      </c>
      <c r="AL483" s="23">
        <v>4258</v>
      </c>
      <c r="AM483" s="24">
        <v>0.32127759511507697</v>
      </c>
      <c r="AN483" s="44" t="str">
        <f>VLOOKUP(flu_aw25[[#This Row],[trust_code]],trust_lookup[],3,0)</f>
        <v>West London</v>
      </c>
    </row>
    <row r="484" spans="1:40" x14ac:dyDescent="0.35">
      <c r="A484" s="2" t="s">
        <v>519</v>
      </c>
      <c r="B484" s="2" t="s">
        <v>164</v>
      </c>
      <c r="C484" s="2" t="s">
        <v>165</v>
      </c>
      <c r="D484" s="2" t="s">
        <v>193</v>
      </c>
      <c r="E484" s="2" t="s">
        <v>35</v>
      </c>
      <c r="F484" s="2">
        <v>14</v>
      </c>
      <c r="G484" s="2">
        <v>5</v>
      </c>
      <c r="H484" s="14" t="str">
        <f>VLOOKUP(flu_group[[#This Row],[trust_code]],trust_lookup[],3,0)</f>
        <v>SLAM</v>
      </c>
      <c r="I484" s="14" t="str">
        <f>VLOOKUP(flu_group[[#This Row],[trust_code]],trust_lookup[],4,0)</f>
        <v>Mental Health</v>
      </c>
      <c r="K484" s="2" t="s">
        <v>518</v>
      </c>
      <c r="L484" s="2" t="s">
        <v>113</v>
      </c>
      <c r="M484" s="2" t="s">
        <v>114</v>
      </c>
      <c r="N484" s="2" t="s">
        <v>194</v>
      </c>
      <c r="O484" s="2" t="s">
        <v>29</v>
      </c>
      <c r="P484" s="2">
        <v>27</v>
      </c>
      <c r="R484" s="43">
        <v>45614</v>
      </c>
      <c r="S484" s="2">
        <v>47</v>
      </c>
      <c r="T484" s="2" t="s">
        <v>519</v>
      </c>
      <c r="U484" s="2" t="s">
        <v>136</v>
      </c>
      <c r="V484" s="2" t="s">
        <v>137</v>
      </c>
      <c r="W484" s="2" t="s">
        <v>27</v>
      </c>
      <c r="X484" s="23">
        <v>36</v>
      </c>
      <c r="Y484" s="23">
        <v>727</v>
      </c>
      <c r="Z484" s="23">
        <v>1794</v>
      </c>
      <c r="AA484" s="24">
        <v>0.40523968784838299</v>
      </c>
      <c r="AB484" s="14" t="str">
        <f>VLOOKUP(flu_aw24[[#This Row],[trust_code]],trust_lookup[],3,0)</f>
        <v>Moorfields</v>
      </c>
      <c r="AD484" s="43">
        <v>46013</v>
      </c>
      <c r="AE484" s="2">
        <v>52</v>
      </c>
      <c r="AF484" s="2" t="s">
        <v>518</v>
      </c>
      <c r="AG484" s="2" t="s">
        <v>187</v>
      </c>
      <c r="AH484" s="2" t="s">
        <v>188</v>
      </c>
      <c r="AI484" s="2" t="s">
        <v>192</v>
      </c>
      <c r="AJ484" s="23">
        <v>17</v>
      </c>
      <c r="AK484" s="23">
        <v>1385</v>
      </c>
      <c r="AL484" s="23">
        <v>4258</v>
      </c>
      <c r="AM484" s="24">
        <v>0.32527007984969403</v>
      </c>
      <c r="AN484" s="44" t="str">
        <f>VLOOKUP(flu_aw25[[#This Row],[trust_code]],trust_lookup[],3,0)</f>
        <v>West London</v>
      </c>
    </row>
    <row r="485" spans="1:40" x14ac:dyDescent="0.35">
      <c r="A485" s="2" t="s">
        <v>519</v>
      </c>
      <c r="B485" s="2" t="s">
        <v>62</v>
      </c>
      <c r="C485" s="2" t="s">
        <v>63</v>
      </c>
      <c r="D485" s="2" t="s">
        <v>194</v>
      </c>
      <c r="E485" s="2" t="s">
        <v>67</v>
      </c>
      <c r="F485" s="2">
        <v>135</v>
      </c>
      <c r="G485" s="2">
        <v>39</v>
      </c>
      <c r="H485" s="14" t="str">
        <f>VLOOKUP(flu_group[[#This Row],[trust_code]],trust_lookup[],3,0)</f>
        <v>Croydon</v>
      </c>
      <c r="I485" s="14" t="str">
        <f>VLOOKUP(flu_group[[#This Row],[trust_code]],trust_lookup[],4,0)</f>
        <v>Acute &amp; Community</v>
      </c>
      <c r="K485" s="2" t="s">
        <v>518</v>
      </c>
      <c r="L485" s="2" t="s">
        <v>113</v>
      </c>
      <c r="M485" s="2" t="s">
        <v>114</v>
      </c>
      <c r="N485" s="2" t="s">
        <v>194</v>
      </c>
      <c r="O485" s="2" t="s">
        <v>123</v>
      </c>
      <c r="P485" s="2">
        <v>92</v>
      </c>
      <c r="R485" s="43">
        <v>45621</v>
      </c>
      <c r="S485" s="2">
        <v>48</v>
      </c>
      <c r="T485" s="2" t="s">
        <v>519</v>
      </c>
      <c r="U485" s="2" t="s">
        <v>136</v>
      </c>
      <c r="V485" s="2" t="s">
        <v>137</v>
      </c>
      <c r="W485" s="2" t="s">
        <v>27</v>
      </c>
      <c r="X485" s="23">
        <v>19</v>
      </c>
      <c r="Y485" s="23">
        <v>746</v>
      </c>
      <c r="Z485" s="23">
        <v>1794</v>
      </c>
      <c r="AA485" s="24">
        <v>0.415830546265328</v>
      </c>
      <c r="AB485" s="14" t="str">
        <f>VLOOKUP(flu_aw24[[#This Row],[trust_code]],trust_lookup[],3,0)</f>
        <v>Moorfields</v>
      </c>
      <c r="AD485" s="43">
        <v>46020</v>
      </c>
      <c r="AE485" s="2">
        <v>1</v>
      </c>
      <c r="AF485" s="2" t="s">
        <v>518</v>
      </c>
      <c r="AG485" s="2" t="s">
        <v>187</v>
      </c>
      <c r="AH485" s="2" t="s">
        <v>188</v>
      </c>
      <c r="AI485" s="2" t="s">
        <v>192</v>
      </c>
      <c r="AJ485" s="23">
        <v>6</v>
      </c>
      <c r="AK485" s="23">
        <v>1391</v>
      </c>
      <c r="AL485" s="23">
        <v>4258</v>
      </c>
      <c r="AM485" s="24">
        <v>0.32667919210897101</v>
      </c>
      <c r="AN485" s="44" t="str">
        <f>VLOOKUP(flu_aw25[[#This Row],[trust_code]],trust_lookup[],3,0)</f>
        <v>West London</v>
      </c>
    </row>
    <row r="486" spans="1:40" x14ac:dyDescent="0.35">
      <c r="A486" s="2" t="s">
        <v>519</v>
      </c>
      <c r="B486" s="2" t="s">
        <v>62</v>
      </c>
      <c r="C486" s="2" t="s">
        <v>63</v>
      </c>
      <c r="D486" s="2" t="s">
        <v>194</v>
      </c>
      <c r="E486" s="2" t="s">
        <v>81</v>
      </c>
      <c r="F486" s="2">
        <v>657</v>
      </c>
      <c r="G486" s="2">
        <v>217</v>
      </c>
      <c r="H486" s="14" t="str">
        <f>VLOOKUP(flu_group[[#This Row],[trust_code]],trust_lookup[],3,0)</f>
        <v>Croydon</v>
      </c>
      <c r="I486" s="14" t="str">
        <f>VLOOKUP(flu_group[[#This Row],[trust_code]],trust_lookup[],4,0)</f>
        <v>Acute &amp; Community</v>
      </c>
      <c r="K486" s="2" t="s">
        <v>518</v>
      </c>
      <c r="L486" s="2" t="s">
        <v>113</v>
      </c>
      <c r="M486" s="2" t="s">
        <v>114</v>
      </c>
      <c r="N486" s="2" t="s">
        <v>194</v>
      </c>
      <c r="O486" s="2" t="s">
        <v>82</v>
      </c>
      <c r="P486" s="2">
        <v>24</v>
      </c>
      <c r="R486" s="43">
        <v>45628</v>
      </c>
      <c r="S486" s="2">
        <v>49</v>
      </c>
      <c r="T486" s="2" t="s">
        <v>519</v>
      </c>
      <c r="U486" s="2" t="s">
        <v>136</v>
      </c>
      <c r="V486" s="2" t="s">
        <v>137</v>
      </c>
      <c r="W486" s="2" t="s">
        <v>27</v>
      </c>
      <c r="X486" s="23">
        <v>17</v>
      </c>
      <c r="Y486" s="23">
        <v>763</v>
      </c>
      <c r="Z486" s="23">
        <v>1794</v>
      </c>
      <c r="AA486" s="24">
        <v>0.42530657748049</v>
      </c>
      <c r="AB486" s="14" t="str">
        <f>VLOOKUP(flu_aw24[[#This Row],[trust_code]],trust_lookup[],3,0)</f>
        <v>Moorfields</v>
      </c>
      <c r="AD486" s="43">
        <v>46027</v>
      </c>
      <c r="AE486" s="2">
        <v>2</v>
      </c>
      <c r="AF486" s="2" t="s">
        <v>518</v>
      </c>
      <c r="AG486" s="2" t="s">
        <v>187</v>
      </c>
      <c r="AH486" s="2" t="s">
        <v>188</v>
      </c>
      <c r="AI486" s="2" t="s">
        <v>192</v>
      </c>
      <c r="AJ486" s="23">
        <v>14</v>
      </c>
      <c r="AK486" s="23">
        <v>1405</v>
      </c>
      <c r="AL486" s="23">
        <v>4258</v>
      </c>
      <c r="AM486" s="24">
        <v>0.32996712071395001</v>
      </c>
      <c r="AN486" s="44" t="str">
        <f>VLOOKUP(flu_aw25[[#This Row],[trust_code]],trust_lookup[],3,0)</f>
        <v>West London</v>
      </c>
    </row>
    <row r="487" spans="1:40" x14ac:dyDescent="0.35">
      <c r="A487" s="2" t="s">
        <v>519</v>
      </c>
      <c r="B487" s="2" t="s">
        <v>62</v>
      </c>
      <c r="C487" s="2" t="s">
        <v>63</v>
      </c>
      <c r="D487" s="2" t="s">
        <v>194</v>
      </c>
      <c r="E487" s="2" t="s">
        <v>46</v>
      </c>
      <c r="F487" s="2">
        <v>81</v>
      </c>
      <c r="G487" s="2">
        <v>33</v>
      </c>
      <c r="H487" s="14" t="str">
        <f>VLOOKUP(flu_group[[#This Row],[trust_code]],trust_lookup[],3,0)</f>
        <v>Croydon</v>
      </c>
      <c r="I487" s="14" t="str">
        <f>VLOOKUP(flu_group[[#This Row],[trust_code]],trust_lookup[],4,0)</f>
        <v>Acute &amp; Community</v>
      </c>
      <c r="K487" s="2" t="s">
        <v>518</v>
      </c>
      <c r="L487" s="2" t="s">
        <v>113</v>
      </c>
      <c r="M487" s="2" t="s">
        <v>114</v>
      </c>
      <c r="N487" s="2" t="s">
        <v>194</v>
      </c>
      <c r="O487" s="2" t="s">
        <v>88</v>
      </c>
      <c r="P487" s="2">
        <v>12</v>
      </c>
      <c r="R487" s="43">
        <v>45635</v>
      </c>
      <c r="S487" s="2">
        <v>50</v>
      </c>
      <c r="T487" s="2" t="s">
        <v>519</v>
      </c>
      <c r="U487" s="2" t="s">
        <v>136</v>
      </c>
      <c r="V487" s="2" t="s">
        <v>137</v>
      </c>
      <c r="W487" s="2" t="s">
        <v>27</v>
      </c>
      <c r="X487" s="23">
        <v>8</v>
      </c>
      <c r="Y487" s="23">
        <v>771</v>
      </c>
      <c r="Z487" s="23">
        <v>1794</v>
      </c>
      <c r="AA487" s="24">
        <v>0.42976588628762502</v>
      </c>
      <c r="AB487" s="14" t="str">
        <f>VLOOKUP(flu_aw24[[#This Row],[trust_code]],trust_lookup[],3,0)</f>
        <v>Moorfields</v>
      </c>
      <c r="AD487" s="43">
        <v>46034</v>
      </c>
      <c r="AE487" s="2">
        <v>3</v>
      </c>
      <c r="AF487" s="2" t="s">
        <v>518</v>
      </c>
      <c r="AG487" s="2" t="s">
        <v>187</v>
      </c>
      <c r="AH487" s="2" t="s">
        <v>188</v>
      </c>
      <c r="AI487" s="2" t="s">
        <v>192</v>
      </c>
      <c r="AJ487" s="23">
        <v>15</v>
      </c>
      <c r="AK487" s="23">
        <v>1420</v>
      </c>
      <c r="AL487" s="23">
        <v>4258</v>
      </c>
      <c r="AM487" s="24">
        <v>0.33348990136214102</v>
      </c>
      <c r="AN487" s="44" t="str">
        <f>VLOOKUP(flu_aw25[[#This Row],[trust_code]],trust_lookup[],3,0)</f>
        <v>West London</v>
      </c>
    </row>
    <row r="488" spans="1:40" x14ac:dyDescent="0.35">
      <c r="A488" s="2" t="s">
        <v>519</v>
      </c>
      <c r="B488" s="2" t="s">
        <v>62</v>
      </c>
      <c r="C488" s="2" t="s">
        <v>63</v>
      </c>
      <c r="D488" s="2" t="s">
        <v>194</v>
      </c>
      <c r="E488" s="2" t="s">
        <v>60</v>
      </c>
      <c r="F488" s="2">
        <v>273</v>
      </c>
      <c r="G488" s="2">
        <v>114</v>
      </c>
      <c r="H488" s="14" t="str">
        <f>VLOOKUP(flu_group[[#This Row],[trust_code]],trust_lookup[],3,0)</f>
        <v>Croydon</v>
      </c>
      <c r="I488" s="14" t="str">
        <f>VLOOKUP(flu_group[[#This Row],[trust_code]],trust_lookup[],4,0)</f>
        <v>Acute &amp; Community</v>
      </c>
      <c r="K488" s="2" t="s">
        <v>518</v>
      </c>
      <c r="L488" s="2" t="s">
        <v>113</v>
      </c>
      <c r="M488" s="2" t="s">
        <v>114</v>
      </c>
      <c r="N488" s="2" t="s">
        <v>194</v>
      </c>
      <c r="O488" s="2" t="s">
        <v>141</v>
      </c>
      <c r="P488" s="2">
        <v>224</v>
      </c>
      <c r="R488" s="43">
        <v>45642</v>
      </c>
      <c r="S488" s="2">
        <v>51</v>
      </c>
      <c r="T488" s="2" t="s">
        <v>519</v>
      </c>
      <c r="U488" s="2" t="s">
        <v>136</v>
      </c>
      <c r="V488" s="2" t="s">
        <v>137</v>
      </c>
      <c r="W488" s="2" t="s">
        <v>27</v>
      </c>
      <c r="X488" s="23">
        <v>6</v>
      </c>
      <c r="Y488" s="23">
        <v>777</v>
      </c>
      <c r="Z488" s="23">
        <v>1794</v>
      </c>
      <c r="AA488" s="24">
        <v>0.43311036789297602</v>
      </c>
      <c r="AB488" s="14" t="str">
        <f>VLOOKUP(flu_aw24[[#This Row],[trust_code]],trust_lookup[],3,0)</f>
        <v>Moorfields</v>
      </c>
      <c r="AD488" s="43">
        <v>46041</v>
      </c>
      <c r="AE488" s="2">
        <v>4</v>
      </c>
      <c r="AF488" s="2" t="s">
        <v>518</v>
      </c>
      <c r="AG488" s="2" t="s">
        <v>187</v>
      </c>
      <c r="AH488" s="2" t="s">
        <v>188</v>
      </c>
      <c r="AI488" s="2" t="s">
        <v>192</v>
      </c>
      <c r="AJ488" s="23">
        <v>29</v>
      </c>
      <c r="AK488" s="23">
        <v>1449</v>
      </c>
      <c r="AL488" s="23">
        <v>4258</v>
      </c>
      <c r="AM488" s="24">
        <v>0.34030061061531203</v>
      </c>
      <c r="AN488" s="44" t="str">
        <f>VLOOKUP(flu_aw25[[#This Row],[trust_code]],trust_lookup[],3,0)</f>
        <v>West London</v>
      </c>
    </row>
    <row r="489" spans="1:40" x14ac:dyDescent="0.35">
      <c r="A489" s="2" t="s">
        <v>519</v>
      </c>
      <c r="B489" s="2" t="s">
        <v>62</v>
      </c>
      <c r="C489" s="2" t="s">
        <v>63</v>
      </c>
      <c r="D489" s="2" t="s">
        <v>194</v>
      </c>
      <c r="E489" s="2" t="s">
        <v>28</v>
      </c>
      <c r="F489" s="2">
        <v>128</v>
      </c>
      <c r="G489" s="2">
        <v>50</v>
      </c>
      <c r="H489" s="14" t="str">
        <f>VLOOKUP(flu_group[[#This Row],[trust_code]],trust_lookup[],3,0)</f>
        <v>Croydon</v>
      </c>
      <c r="I489" s="14" t="str">
        <f>VLOOKUP(flu_group[[#This Row],[trust_code]],trust_lookup[],4,0)</f>
        <v>Acute &amp; Community</v>
      </c>
      <c r="K489" s="2" t="s">
        <v>518</v>
      </c>
      <c r="L489" s="2" t="s">
        <v>113</v>
      </c>
      <c r="M489" s="2" t="s">
        <v>114</v>
      </c>
      <c r="N489" s="2" t="s">
        <v>194</v>
      </c>
      <c r="O489" s="2" t="s">
        <v>61</v>
      </c>
      <c r="P489" s="2">
        <v>15</v>
      </c>
      <c r="R489" s="43">
        <v>45649</v>
      </c>
      <c r="S489" s="2">
        <v>52</v>
      </c>
      <c r="T489" s="2" t="s">
        <v>519</v>
      </c>
      <c r="U489" s="2" t="s">
        <v>136</v>
      </c>
      <c r="V489" s="2" t="s">
        <v>137</v>
      </c>
      <c r="W489" s="2" t="s">
        <v>27</v>
      </c>
      <c r="X489" s="23">
        <v>2</v>
      </c>
      <c r="Y489" s="23">
        <v>779</v>
      </c>
      <c r="Z489" s="23">
        <v>1794</v>
      </c>
      <c r="AA489" s="24">
        <v>0.43422519509475999</v>
      </c>
      <c r="AB489" s="14" t="str">
        <f>VLOOKUP(flu_aw24[[#This Row],[trust_code]],trust_lookup[],3,0)</f>
        <v>Moorfields</v>
      </c>
      <c r="AD489" s="43">
        <v>46048</v>
      </c>
      <c r="AE489" s="2">
        <v>5</v>
      </c>
      <c r="AF489" s="2" t="s">
        <v>518</v>
      </c>
      <c r="AG489" s="2" t="s">
        <v>187</v>
      </c>
      <c r="AH489" s="2" t="s">
        <v>188</v>
      </c>
      <c r="AI489" s="2" t="s">
        <v>192</v>
      </c>
      <c r="AJ489" s="23">
        <v>13</v>
      </c>
      <c r="AK489" s="23">
        <v>1462</v>
      </c>
      <c r="AL489" s="23">
        <v>4258</v>
      </c>
      <c r="AM489" s="24">
        <v>0.34335368717707798</v>
      </c>
      <c r="AN489" s="44" t="str">
        <f>VLOOKUP(flu_aw25[[#This Row],[trust_code]],trust_lookup[],3,0)</f>
        <v>West London</v>
      </c>
    </row>
    <row r="490" spans="1:40" x14ac:dyDescent="0.35">
      <c r="A490" s="2" t="s">
        <v>519</v>
      </c>
      <c r="B490" s="2" t="s">
        <v>62</v>
      </c>
      <c r="C490" s="2" t="s">
        <v>63</v>
      </c>
      <c r="D490" s="2" t="s">
        <v>194</v>
      </c>
      <c r="E490" s="2" t="s">
        <v>74</v>
      </c>
      <c r="F490" s="2">
        <v>43</v>
      </c>
      <c r="G490" s="2">
        <v>17</v>
      </c>
      <c r="H490" s="14" t="str">
        <f>VLOOKUP(flu_group[[#This Row],[trust_code]],trust_lookup[],3,0)</f>
        <v>Croydon</v>
      </c>
      <c r="I490" s="14" t="str">
        <f>VLOOKUP(flu_group[[#This Row],[trust_code]],trust_lookup[],4,0)</f>
        <v>Acute &amp; Community</v>
      </c>
      <c r="K490" s="2" t="s">
        <v>518</v>
      </c>
      <c r="L490" s="2" t="s">
        <v>113</v>
      </c>
      <c r="M490" s="2" t="s">
        <v>114</v>
      </c>
      <c r="N490" s="2" t="s">
        <v>194</v>
      </c>
      <c r="O490" s="2" t="s">
        <v>100</v>
      </c>
      <c r="P490" s="2">
        <v>88</v>
      </c>
      <c r="R490" s="43">
        <v>45656</v>
      </c>
      <c r="S490" s="2">
        <v>1</v>
      </c>
      <c r="T490" s="2" t="s">
        <v>519</v>
      </c>
      <c r="U490" s="2" t="s">
        <v>136</v>
      </c>
      <c r="V490" s="2" t="s">
        <v>137</v>
      </c>
      <c r="W490" s="2" t="s">
        <v>27</v>
      </c>
      <c r="X490" s="23">
        <v>2</v>
      </c>
      <c r="Y490" s="23">
        <v>781</v>
      </c>
      <c r="Z490" s="23">
        <v>1794</v>
      </c>
      <c r="AA490" s="24">
        <v>0.435340022296544</v>
      </c>
      <c r="AB490" s="14" t="str">
        <f>VLOOKUP(flu_aw24[[#This Row],[trust_code]],trust_lookup[],3,0)</f>
        <v>Moorfields</v>
      </c>
      <c r="AD490" s="43">
        <v>46055</v>
      </c>
      <c r="AE490" s="2">
        <v>6</v>
      </c>
      <c r="AF490" s="2" t="s">
        <v>518</v>
      </c>
      <c r="AG490" s="2" t="s">
        <v>187</v>
      </c>
      <c r="AH490" s="2" t="s">
        <v>188</v>
      </c>
      <c r="AI490" s="2" t="s">
        <v>192</v>
      </c>
      <c r="AJ490" s="23">
        <v>10</v>
      </c>
      <c r="AK490" s="23">
        <v>1472</v>
      </c>
      <c r="AL490" s="23">
        <v>4258</v>
      </c>
      <c r="AM490" s="24">
        <v>0.345702207609206</v>
      </c>
      <c r="AN490" s="44" t="str">
        <f>VLOOKUP(flu_aw25[[#This Row],[trust_code]],trust_lookup[],3,0)</f>
        <v>West London</v>
      </c>
    </row>
    <row r="491" spans="1:40" x14ac:dyDescent="0.35">
      <c r="A491" s="2" t="s">
        <v>519</v>
      </c>
      <c r="B491" s="2" t="s">
        <v>62</v>
      </c>
      <c r="C491" s="2" t="s">
        <v>63</v>
      </c>
      <c r="D491" s="2" t="s">
        <v>194</v>
      </c>
      <c r="E491" s="2" t="s">
        <v>42</v>
      </c>
      <c r="F491" s="2">
        <v>772</v>
      </c>
      <c r="G491" s="2">
        <v>345</v>
      </c>
      <c r="H491" s="14" t="str">
        <f>VLOOKUP(flu_group[[#This Row],[trust_code]],trust_lookup[],3,0)</f>
        <v>Croydon</v>
      </c>
      <c r="I491" s="14" t="str">
        <f>VLOOKUP(flu_group[[#This Row],[trust_code]],trust_lookup[],4,0)</f>
        <v>Acute &amp; Community</v>
      </c>
      <c r="K491" s="2" t="s">
        <v>518</v>
      </c>
      <c r="L491" s="2" t="s">
        <v>113</v>
      </c>
      <c r="M491" s="2" t="s">
        <v>114</v>
      </c>
      <c r="N491" s="2" t="s">
        <v>194</v>
      </c>
      <c r="O491" s="2" t="s">
        <v>75</v>
      </c>
      <c r="P491" s="2">
        <v>18</v>
      </c>
      <c r="R491" s="43">
        <v>45663</v>
      </c>
      <c r="S491" s="2">
        <v>2</v>
      </c>
      <c r="T491" s="2" t="s">
        <v>519</v>
      </c>
      <c r="U491" s="2" t="s">
        <v>136</v>
      </c>
      <c r="V491" s="2" t="s">
        <v>137</v>
      </c>
      <c r="W491" s="2" t="s">
        <v>27</v>
      </c>
      <c r="X491" s="23">
        <v>4</v>
      </c>
      <c r="Y491" s="23">
        <v>785</v>
      </c>
      <c r="Z491" s="23">
        <v>1794</v>
      </c>
      <c r="AA491" s="24">
        <v>0.43756967670011099</v>
      </c>
      <c r="AB491" s="14" t="str">
        <f>VLOOKUP(flu_aw24[[#This Row],[trust_code]],trust_lookup[],3,0)</f>
        <v>Moorfields</v>
      </c>
      <c r="AD491" s="43">
        <v>46062</v>
      </c>
      <c r="AE491" s="2">
        <v>7</v>
      </c>
      <c r="AF491" s="2" t="s">
        <v>518</v>
      </c>
      <c r="AG491" s="2" t="s">
        <v>187</v>
      </c>
      <c r="AH491" s="2" t="s">
        <v>188</v>
      </c>
      <c r="AI491" s="2" t="s">
        <v>192</v>
      </c>
      <c r="AJ491" s="23">
        <v>1</v>
      </c>
      <c r="AK491" s="23">
        <v>1473</v>
      </c>
      <c r="AL491" s="23">
        <v>4258</v>
      </c>
      <c r="AM491" s="24">
        <v>0.345937059652419</v>
      </c>
      <c r="AN491" s="44" t="str">
        <f>VLOOKUP(flu_aw25[[#This Row],[trust_code]],trust_lookup[],3,0)</f>
        <v>West London</v>
      </c>
    </row>
    <row r="492" spans="1:40" x14ac:dyDescent="0.35">
      <c r="A492" s="2" t="s">
        <v>519</v>
      </c>
      <c r="B492" s="2" t="s">
        <v>62</v>
      </c>
      <c r="C492" s="2" t="s">
        <v>63</v>
      </c>
      <c r="D492" s="2" t="s">
        <v>194</v>
      </c>
      <c r="E492" s="2" t="s">
        <v>53</v>
      </c>
      <c r="F492" s="2">
        <v>1240</v>
      </c>
      <c r="G492" s="2">
        <v>488</v>
      </c>
      <c r="H492" s="14" t="str">
        <f>VLOOKUP(flu_group[[#This Row],[trust_code]],trust_lookup[],3,0)</f>
        <v>Croydon</v>
      </c>
      <c r="I492" s="14" t="str">
        <f>VLOOKUP(flu_group[[#This Row],[trust_code]],trust_lookup[],4,0)</f>
        <v>Acute &amp; Community</v>
      </c>
      <c r="K492" s="2" t="s">
        <v>518</v>
      </c>
      <c r="L492" s="2" t="s">
        <v>113</v>
      </c>
      <c r="M492" s="2" t="s">
        <v>114</v>
      </c>
      <c r="N492" s="2" t="s">
        <v>194</v>
      </c>
      <c r="O492" s="2" t="s">
        <v>106</v>
      </c>
      <c r="P492" s="2">
        <v>31</v>
      </c>
      <c r="R492" s="43">
        <v>45670</v>
      </c>
      <c r="S492" s="2">
        <v>3</v>
      </c>
      <c r="T492" s="2" t="s">
        <v>519</v>
      </c>
      <c r="U492" s="2" t="s">
        <v>136</v>
      </c>
      <c r="V492" s="2" t="s">
        <v>137</v>
      </c>
      <c r="W492" s="2" t="s">
        <v>27</v>
      </c>
      <c r="X492" s="23">
        <v>3</v>
      </c>
      <c r="Y492" s="23">
        <v>788</v>
      </c>
      <c r="Z492" s="23">
        <v>1794</v>
      </c>
      <c r="AA492" s="24">
        <v>0.43924191750278702</v>
      </c>
      <c r="AB492" s="14" t="str">
        <f>VLOOKUP(flu_aw24[[#This Row],[trust_code]],trust_lookup[],3,0)</f>
        <v>Moorfields</v>
      </c>
      <c r="AD492" s="43">
        <v>46069</v>
      </c>
      <c r="AE492" s="2">
        <v>8</v>
      </c>
      <c r="AF492" s="2" t="s">
        <v>518</v>
      </c>
      <c r="AG492" s="2" t="s">
        <v>187</v>
      </c>
      <c r="AH492" s="2" t="s">
        <v>188</v>
      </c>
      <c r="AI492" s="2" t="s">
        <v>192</v>
      </c>
      <c r="AJ492" s="23">
        <v>2</v>
      </c>
      <c r="AK492" s="23">
        <v>1475</v>
      </c>
      <c r="AL492" s="23">
        <v>4258</v>
      </c>
      <c r="AM492" s="24">
        <v>0.34640676373884399</v>
      </c>
      <c r="AN492" s="44" t="str">
        <f>VLOOKUP(flu_aw25[[#This Row],[trust_code]],trust_lookup[],3,0)</f>
        <v>West London</v>
      </c>
    </row>
    <row r="493" spans="1:40" x14ac:dyDescent="0.35">
      <c r="A493" s="2" t="s">
        <v>519</v>
      </c>
      <c r="B493" s="2" t="s">
        <v>62</v>
      </c>
      <c r="C493" s="2" t="s">
        <v>63</v>
      </c>
      <c r="D493" s="2" t="s">
        <v>194</v>
      </c>
      <c r="E493" s="2" t="s">
        <v>35</v>
      </c>
      <c r="F493" s="2">
        <v>14</v>
      </c>
      <c r="G493" s="2">
        <v>1</v>
      </c>
      <c r="H493" s="14" t="str">
        <f>VLOOKUP(flu_group[[#This Row],[trust_code]],trust_lookup[],3,0)</f>
        <v>Croydon</v>
      </c>
      <c r="I493" s="14" t="str">
        <f>VLOOKUP(flu_group[[#This Row],[trust_code]],trust_lookup[],4,0)</f>
        <v>Acute &amp; Community</v>
      </c>
      <c r="K493" s="2" t="s">
        <v>518</v>
      </c>
      <c r="L493" s="2" t="s">
        <v>113</v>
      </c>
      <c r="M493" s="2" t="s">
        <v>114</v>
      </c>
      <c r="N493" s="2" t="s">
        <v>194</v>
      </c>
      <c r="O493" s="2" t="s">
        <v>112</v>
      </c>
      <c r="P493" s="2">
        <v>135</v>
      </c>
      <c r="R493" s="43">
        <v>45677</v>
      </c>
      <c r="S493" s="2">
        <v>4</v>
      </c>
      <c r="T493" s="2" t="s">
        <v>519</v>
      </c>
      <c r="U493" s="2" t="s">
        <v>136</v>
      </c>
      <c r="V493" s="2" t="s">
        <v>137</v>
      </c>
      <c r="W493" s="2" t="s">
        <v>27</v>
      </c>
      <c r="X493" s="23">
        <v>1</v>
      </c>
      <c r="Y493" s="23">
        <v>789</v>
      </c>
      <c r="Z493" s="23">
        <v>1794</v>
      </c>
      <c r="AA493" s="24">
        <v>0.43979933110367803</v>
      </c>
      <c r="AB493" s="14" t="str">
        <f>VLOOKUP(flu_aw24[[#This Row],[trust_code]],trust_lookup[],3,0)</f>
        <v>Moorfields</v>
      </c>
      <c r="AD493" s="43">
        <v>46076</v>
      </c>
      <c r="AE493" s="2">
        <v>9</v>
      </c>
      <c r="AF493" s="2" t="s">
        <v>518</v>
      </c>
      <c r="AG493" s="2" t="s">
        <v>187</v>
      </c>
      <c r="AH493" s="2" t="s">
        <v>188</v>
      </c>
      <c r="AI493" s="2" t="s">
        <v>192</v>
      </c>
      <c r="AJ493" s="23">
        <v>2</v>
      </c>
      <c r="AK493" s="23">
        <v>1477</v>
      </c>
      <c r="AL493" s="23">
        <v>4258</v>
      </c>
      <c r="AM493" s="24">
        <v>0.34687646782526999</v>
      </c>
      <c r="AN493" s="44" t="str">
        <f>VLOOKUP(flu_aw25[[#This Row],[trust_code]],trust_lookup[],3,0)</f>
        <v>West London</v>
      </c>
    </row>
    <row r="494" spans="1:40" x14ac:dyDescent="0.35">
      <c r="A494" s="2" t="s">
        <v>519</v>
      </c>
      <c r="B494" s="2" t="s">
        <v>76</v>
      </c>
      <c r="C494" s="2" t="s">
        <v>77</v>
      </c>
      <c r="D494" s="2" t="s">
        <v>194</v>
      </c>
      <c r="E494" s="2" t="s">
        <v>67</v>
      </c>
      <c r="F494" s="2">
        <v>132</v>
      </c>
      <c r="G494" s="2">
        <v>62</v>
      </c>
      <c r="H494" s="14" t="str">
        <f>VLOOKUP(flu_group[[#This Row],[trust_code]],trust_lookup[],3,0)</f>
        <v>Epsom</v>
      </c>
      <c r="I494" s="14" t="str">
        <f>VLOOKUP(flu_group[[#This Row],[trust_code]],trust_lookup[],4,0)</f>
        <v>Acute</v>
      </c>
      <c r="K494" s="2" t="s">
        <v>518</v>
      </c>
      <c r="L494" s="2" t="s">
        <v>113</v>
      </c>
      <c r="M494" s="2" t="s">
        <v>114</v>
      </c>
      <c r="N494" s="2" t="s">
        <v>194</v>
      </c>
      <c r="O494" s="2" t="s">
        <v>36</v>
      </c>
      <c r="P494" s="2">
        <v>102</v>
      </c>
      <c r="R494" s="43">
        <v>45684</v>
      </c>
      <c r="S494" s="2">
        <v>5</v>
      </c>
      <c r="T494" s="2" t="s">
        <v>519</v>
      </c>
      <c r="U494" s="2" t="s">
        <v>136</v>
      </c>
      <c r="V494" s="2" t="s">
        <v>137</v>
      </c>
      <c r="W494" s="2" t="s">
        <v>27</v>
      </c>
      <c r="X494" s="23">
        <v>1</v>
      </c>
      <c r="Y494" s="23">
        <v>790</v>
      </c>
      <c r="Z494" s="23">
        <v>1794</v>
      </c>
      <c r="AA494" s="24">
        <v>0.44035674470456998</v>
      </c>
      <c r="AB494" s="14" t="str">
        <f>VLOOKUP(flu_aw24[[#This Row],[trust_code]],trust_lookup[],3,0)</f>
        <v>Moorfields</v>
      </c>
      <c r="AD494" s="43">
        <v>45908</v>
      </c>
      <c r="AE494" s="2">
        <v>37</v>
      </c>
      <c r="AF494" s="2" t="s">
        <v>518</v>
      </c>
      <c r="AG494" s="2" t="s">
        <v>55</v>
      </c>
      <c r="AH494" s="2" t="s">
        <v>56</v>
      </c>
      <c r="AI494" s="2" t="s">
        <v>192</v>
      </c>
      <c r="AJ494" s="23">
        <v>1</v>
      </c>
      <c r="AK494" s="23">
        <v>1</v>
      </c>
      <c r="AL494" s="23">
        <v>4899</v>
      </c>
      <c r="AM494" s="24">
        <v>2.0412329046744199E-4</v>
      </c>
      <c r="AN494" s="44" t="str">
        <f>VLOOKUP(flu_aw25[[#This Row],[trust_code]],trust_lookup[],3,0)</f>
        <v>ChelWest</v>
      </c>
    </row>
    <row r="495" spans="1:40" x14ac:dyDescent="0.35">
      <c r="A495" s="2" t="s">
        <v>519</v>
      </c>
      <c r="B495" s="2" t="s">
        <v>76</v>
      </c>
      <c r="C495" s="2" t="s">
        <v>77</v>
      </c>
      <c r="D495" s="2" t="s">
        <v>194</v>
      </c>
      <c r="E495" s="2" t="s">
        <v>81</v>
      </c>
      <c r="F495" s="2">
        <v>1558</v>
      </c>
      <c r="G495" s="2">
        <v>511</v>
      </c>
      <c r="H495" s="14" t="str">
        <f>VLOOKUP(flu_group[[#This Row],[trust_code]],trust_lookup[],3,0)</f>
        <v>Epsom</v>
      </c>
      <c r="I495" s="14" t="str">
        <f>VLOOKUP(flu_group[[#This Row],[trust_code]],trust_lookup[],4,0)</f>
        <v>Acute</v>
      </c>
      <c r="K495" s="2" t="s">
        <v>518</v>
      </c>
      <c r="L495" s="2" t="s">
        <v>167</v>
      </c>
      <c r="M495" s="2" t="s">
        <v>168</v>
      </c>
      <c r="N495" s="2" t="s">
        <v>194</v>
      </c>
      <c r="O495" s="2" t="s">
        <v>68</v>
      </c>
      <c r="P495" s="2">
        <v>319</v>
      </c>
      <c r="R495" s="43">
        <v>45691</v>
      </c>
      <c r="S495" s="2">
        <v>6</v>
      </c>
      <c r="T495" s="2" t="s">
        <v>519</v>
      </c>
      <c r="U495" s="2" t="s">
        <v>136</v>
      </c>
      <c r="V495" s="2" t="s">
        <v>137</v>
      </c>
      <c r="W495" s="2" t="s">
        <v>27</v>
      </c>
      <c r="X495" s="23">
        <v>1</v>
      </c>
      <c r="Y495" s="23">
        <v>791</v>
      </c>
      <c r="Z495" s="23">
        <v>1794</v>
      </c>
      <c r="AA495" s="24">
        <v>0.44091415830546199</v>
      </c>
      <c r="AB495" s="14" t="str">
        <f>VLOOKUP(flu_aw24[[#This Row],[trust_code]],trust_lookup[],3,0)</f>
        <v>Moorfields</v>
      </c>
      <c r="AD495" s="43">
        <v>45915</v>
      </c>
      <c r="AE495" s="2">
        <v>38</v>
      </c>
      <c r="AF495" s="2" t="s">
        <v>518</v>
      </c>
      <c r="AG495" s="2" t="s">
        <v>55</v>
      </c>
      <c r="AH495" s="2" t="s">
        <v>56</v>
      </c>
      <c r="AI495" s="2" t="s">
        <v>192</v>
      </c>
      <c r="AJ495" s="23">
        <v>4</v>
      </c>
      <c r="AK495" s="23">
        <v>5</v>
      </c>
      <c r="AL495" s="23">
        <v>4899</v>
      </c>
      <c r="AM495" s="24">
        <v>1.02061645233721E-3</v>
      </c>
      <c r="AN495" s="44" t="str">
        <f>VLOOKUP(flu_aw25[[#This Row],[trust_code]],trust_lookup[],3,0)</f>
        <v>ChelWest</v>
      </c>
    </row>
    <row r="496" spans="1:40" x14ac:dyDescent="0.35">
      <c r="A496" s="2" t="s">
        <v>519</v>
      </c>
      <c r="B496" s="2" t="s">
        <v>76</v>
      </c>
      <c r="C496" s="2" t="s">
        <v>77</v>
      </c>
      <c r="D496" s="2" t="s">
        <v>194</v>
      </c>
      <c r="E496" s="2" t="s">
        <v>46</v>
      </c>
      <c r="F496" s="2">
        <v>96</v>
      </c>
      <c r="G496" s="2">
        <v>37</v>
      </c>
      <c r="H496" s="14" t="str">
        <f>VLOOKUP(flu_group[[#This Row],[trust_code]],trust_lookup[],3,0)</f>
        <v>Epsom</v>
      </c>
      <c r="I496" s="14" t="str">
        <f>VLOOKUP(flu_group[[#This Row],[trust_code]],trust_lookup[],4,0)</f>
        <v>Acute</v>
      </c>
      <c r="K496" s="2" t="s">
        <v>518</v>
      </c>
      <c r="L496" s="2" t="s">
        <v>167</v>
      </c>
      <c r="M496" s="2" t="s">
        <v>168</v>
      </c>
      <c r="N496" s="2" t="s">
        <v>194</v>
      </c>
      <c r="O496" s="2" t="s">
        <v>135</v>
      </c>
      <c r="P496" s="2">
        <v>18</v>
      </c>
      <c r="R496" s="43">
        <v>45712</v>
      </c>
      <c r="S496" s="2">
        <v>9</v>
      </c>
      <c r="T496" s="2" t="s">
        <v>519</v>
      </c>
      <c r="U496" s="2" t="s">
        <v>136</v>
      </c>
      <c r="V496" s="2" t="s">
        <v>137</v>
      </c>
      <c r="W496" s="2" t="s">
        <v>27</v>
      </c>
      <c r="X496" s="23">
        <v>1</v>
      </c>
      <c r="Y496" s="23">
        <v>792</v>
      </c>
      <c r="Z496" s="23">
        <v>1794</v>
      </c>
      <c r="AA496" s="24">
        <v>0.441471571906354</v>
      </c>
      <c r="AB496" s="14" t="str">
        <f>VLOOKUP(flu_aw24[[#This Row],[trust_code]],trust_lookup[],3,0)</f>
        <v>Moorfields</v>
      </c>
      <c r="AD496" s="43">
        <v>45922</v>
      </c>
      <c r="AE496" s="2">
        <v>39</v>
      </c>
      <c r="AF496" s="2" t="s">
        <v>518</v>
      </c>
      <c r="AG496" s="2" t="s">
        <v>55</v>
      </c>
      <c r="AH496" s="2" t="s">
        <v>56</v>
      </c>
      <c r="AI496" s="2" t="s">
        <v>192</v>
      </c>
      <c r="AJ496" s="23">
        <v>12</v>
      </c>
      <c r="AK496" s="23">
        <v>17</v>
      </c>
      <c r="AL496" s="23">
        <v>4899</v>
      </c>
      <c r="AM496" s="24">
        <v>3.4700959379465198E-3</v>
      </c>
      <c r="AN496" s="44" t="str">
        <f>VLOOKUP(flu_aw25[[#This Row],[trust_code]],trust_lookup[],3,0)</f>
        <v>ChelWest</v>
      </c>
    </row>
    <row r="497" spans="1:40" x14ac:dyDescent="0.35">
      <c r="A497" s="2" t="s">
        <v>519</v>
      </c>
      <c r="B497" s="2" t="s">
        <v>76</v>
      </c>
      <c r="C497" s="2" t="s">
        <v>77</v>
      </c>
      <c r="D497" s="2" t="s">
        <v>194</v>
      </c>
      <c r="E497" s="2" t="s">
        <v>60</v>
      </c>
      <c r="F497" s="2">
        <v>581</v>
      </c>
      <c r="G497" s="2">
        <v>269</v>
      </c>
      <c r="H497" s="14" t="str">
        <f>VLOOKUP(flu_group[[#This Row],[trust_code]],trust_lookup[],3,0)</f>
        <v>Epsom</v>
      </c>
      <c r="I497" s="14" t="str">
        <f>VLOOKUP(flu_group[[#This Row],[trust_code]],trust_lookup[],4,0)</f>
        <v>Acute</v>
      </c>
      <c r="K497" s="2" t="s">
        <v>518</v>
      </c>
      <c r="L497" s="2" t="s">
        <v>167</v>
      </c>
      <c r="M497" s="2" t="s">
        <v>168</v>
      </c>
      <c r="N497" s="2" t="s">
        <v>194</v>
      </c>
      <c r="O497" s="2" t="s">
        <v>54</v>
      </c>
      <c r="P497" s="2">
        <v>71</v>
      </c>
      <c r="R497" s="43">
        <v>45719</v>
      </c>
      <c r="S497" s="2">
        <v>10</v>
      </c>
      <c r="T497" s="2" t="s">
        <v>519</v>
      </c>
      <c r="U497" s="2" t="s">
        <v>136</v>
      </c>
      <c r="V497" s="2" t="s">
        <v>137</v>
      </c>
      <c r="W497" s="2" t="s">
        <v>27</v>
      </c>
      <c r="X497" s="23">
        <v>1</v>
      </c>
      <c r="Y497" s="23">
        <v>793</v>
      </c>
      <c r="Z497" s="23">
        <v>1794</v>
      </c>
      <c r="AA497" s="24">
        <v>0.44202898550724601</v>
      </c>
      <c r="AB497" s="14" t="str">
        <f>VLOOKUP(flu_aw24[[#This Row],[trust_code]],trust_lookup[],3,0)</f>
        <v>Moorfields</v>
      </c>
      <c r="AD497" s="43">
        <v>45929</v>
      </c>
      <c r="AE497" s="2">
        <v>40</v>
      </c>
      <c r="AF497" s="2" t="s">
        <v>518</v>
      </c>
      <c r="AG497" s="2" t="s">
        <v>55</v>
      </c>
      <c r="AH497" s="2" t="s">
        <v>56</v>
      </c>
      <c r="AI497" s="2" t="s">
        <v>192</v>
      </c>
      <c r="AJ497" s="23">
        <v>91</v>
      </c>
      <c r="AK497" s="23">
        <v>108</v>
      </c>
      <c r="AL497" s="23">
        <v>4899</v>
      </c>
      <c r="AM497" s="24">
        <v>2.2045315370483699E-2</v>
      </c>
      <c r="AN497" s="44" t="str">
        <f>VLOOKUP(flu_aw25[[#This Row],[trust_code]],trust_lookup[],3,0)</f>
        <v>ChelWest</v>
      </c>
    </row>
    <row r="498" spans="1:40" x14ac:dyDescent="0.35">
      <c r="A498" s="2" t="s">
        <v>519</v>
      </c>
      <c r="B498" s="2" t="s">
        <v>76</v>
      </c>
      <c r="C498" s="2" t="s">
        <v>77</v>
      </c>
      <c r="D498" s="2" t="s">
        <v>194</v>
      </c>
      <c r="E498" s="2" t="s">
        <v>28</v>
      </c>
      <c r="F498" s="2">
        <v>372</v>
      </c>
      <c r="G498" s="2">
        <v>118</v>
      </c>
      <c r="H498" s="14" t="str">
        <f>VLOOKUP(flu_group[[#This Row],[trust_code]],trust_lookup[],3,0)</f>
        <v>Epsom</v>
      </c>
      <c r="I498" s="14" t="str">
        <f>VLOOKUP(flu_group[[#This Row],[trust_code]],trust_lookup[],4,0)</f>
        <v>Acute</v>
      </c>
      <c r="K498" s="2" t="s">
        <v>518</v>
      </c>
      <c r="L498" s="2" t="s">
        <v>167</v>
      </c>
      <c r="M498" s="2" t="s">
        <v>168</v>
      </c>
      <c r="N498" s="2" t="s">
        <v>194</v>
      </c>
      <c r="O498" s="2" t="s">
        <v>129</v>
      </c>
      <c r="P498" s="2">
        <v>3</v>
      </c>
      <c r="R498" s="43">
        <v>45537</v>
      </c>
      <c r="S498" s="2">
        <v>36</v>
      </c>
      <c r="T498" s="2" t="s">
        <v>519</v>
      </c>
      <c r="U498" s="2" t="s">
        <v>142</v>
      </c>
      <c r="V498" s="2" t="s">
        <v>143</v>
      </c>
      <c r="W498" s="2" t="s">
        <v>190</v>
      </c>
      <c r="X498" s="23">
        <v>1</v>
      </c>
      <c r="Y498" s="23">
        <v>1</v>
      </c>
      <c r="Z498" s="23">
        <v>6076</v>
      </c>
      <c r="AA498" s="24">
        <v>1.6458196181698401E-4</v>
      </c>
      <c r="AB498" s="14" t="str">
        <f>VLOOKUP(flu_aw24[[#This Row],[trust_code]],trust_lookup[],3,0)</f>
        <v>NELFT</v>
      </c>
      <c r="AD498" s="43">
        <v>45936</v>
      </c>
      <c r="AE498" s="2">
        <v>41</v>
      </c>
      <c r="AF498" s="2" t="s">
        <v>518</v>
      </c>
      <c r="AG498" s="2" t="s">
        <v>55</v>
      </c>
      <c r="AH498" s="2" t="s">
        <v>56</v>
      </c>
      <c r="AI498" s="2" t="s">
        <v>192</v>
      </c>
      <c r="AJ498" s="23">
        <v>623</v>
      </c>
      <c r="AK498" s="23">
        <v>731</v>
      </c>
      <c r="AL498" s="23">
        <v>4899</v>
      </c>
      <c r="AM498" s="24">
        <v>0.1492141253317</v>
      </c>
      <c r="AN498" s="44" t="str">
        <f>VLOOKUP(flu_aw25[[#This Row],[trust_code]],trust_lookup[],3,0)</f>
        <v>ChelWest</v>
      </c>
    </row>
    <row r="499" spans="1:40" x14ac:dyDescent="0.35">
      <c r="A499" s="2" t="s">
        <v>519</v>
      </c>
      <c r="B499" s="2" t="s">
        <v>76</v>
      </c>
      <c r="C499" s="2" t="s">
        <v>77</v>
      </c>
      <c r="D499" s="2" t="s">
        <v>194</v>
      </c>
      <c r="E499" s="2" t="s">
        <v>74</v>
      </c>
      <c r="F499" s="2">
        <v>73</v>
      </c>
      <c r="G499" s="2">
        <v>38</v>
      </c>
      <c r="H499" s="14" t="str">
        <f>VLOOKUP(flu_group[[#This Row],[trust_code]],trust_lookup[],3,0)</f>
        <v>Epsom</v>
      </c>
      <c r="I499" s="14" t="str">
        <f>VLOOKUP(flu_group[[#This Row],[trust_code]],trust_lookup[],4,0)</f>
        <v>Acute</v>
      </c>
      <c r="K499" s="2" t="s">
        <v>518</v>
      </c>
      <c r="L499" s="2" t="s">
        <v>167</v>
      </c>
      <c r="M499" s="2" t="s">
        <v>168</v>
      </c>
      <c r="N499" s="2" t="s">
        <v>194</v>
      </c>
      <c r="O499" s="2" t="s">
        <v>47</v>
      </c>
      <c r="P499" s="2">
        <v>15</v>
      </c>
      <c r="R499" s="43">
        <v>45544</v>
      </c>
      <c r="S499" s="2">
        <v>37</v>
      </c>
      <c r="T499" s="2" t="s">
        <v>519</v>
      </c>
      <c r="U499" s="2" t="s">
        <v>142</v>
      </c>
      <c r="V499" s="2" t="s">
        <v>143</v>
      </c>
      <c r="W499" s="2" t="s">
        <v>190</v>
      </c>
      <c r="X499" s="23">
        <v>3</v>
      </c>
      <c r="Y499" s="23">
        <v>4</v>
      </c>
      <c r="Z499" s="23">
        <v>6076</v>
      </c>
      <c r="AA499" s="24">
        <v>6.5832784726793897E-4</v>
      </c>
      <c r="AB499" s="14" t="str">
        <f>VLOOKUP(flu_aw24[[#This Row],[trust_code]],trust_lookup[],3,0)</f>
        <v>NELFT</v>
      </c>
      <c r="AD499" s="43">
        <v>45943</v>
      </c>
      <c r="AE499" s="2">
        <v>42</v>
      </c>
      <c r="AF499" s="2" t="s">
        <v>518</v>
      </c>
      <c r="AG499" s="2" t="s">
        <v>55</v>
      </c>
      <c r="AH499" s="2" t="s">
        <v>56</v>
      </c>
      <c r="AI499" s="2" t="s">
        <v>192</v>
      </c>
      <c r="AJ499" s="23">
        <v>385</v>
      </c>
      <c r="AK499" s="23">
        <v>1116</v>
      </c>
      <c r="AL499" s="23">
        <v>4899</v>
      </c>
      <c r="AM499" s="24">
        <v>0.22780159216166501</v>
      </c>
      <c r="AN499" s="44" t="str">
        <f>VLOOKUP(flu_aw25[[#This Row],[trust_code]],trust_lookup[],3,0)</f>
        <v>ChelWest</v>
      </c>
    </row>
    <row r="500" spans="1:40" x14ac:dyDescent="0.35">
      <c r="A500" s="2" t="s">
        <v>519</v>
      </c>
      <c r="B500" s="2" t="s">
        <v>76</v>
      </c>
      <c r="C500" s="2" t="s">
        <v>77</v>
      </c>
      <c r="D500" s="2" t="s">
        <v>194</v>
      </c>
      <c r="E500" s="2" t="s">
        <v>42</v>
      </c>
      <c r="F500" s="2">
        <v>1088</v>
      </c>
      <c r="G500" s="2">
        <v>526</v>
      </c>
      <c r="H500" s="14" t="str">
        <f>VLOOKUP(flu_group[[#This Row],[trust_code]],trust_lookup[],3,0)</f>
        <v>Epsom</v>
      </c>
      <c r="I500" s="14" t="str">
        <f>VLOOKUP(flu_group[[#This Row],[trust_code]],trust_lookup[],4,0)</f>
        <v>Acute</v>
      </c>
      <c r="K500" s="2" t="s">
        <v>518</v>
      </c>
      <c r="L500" s="2" t="s">
        <v>167</v>
      </c>
      <c r="M500" s="2" t="s">
        <v>168</v>
      </c>
      <c r="N500" s="2" t="s">
        <v>194</v>
      </c>
      <c r="O500" s="2" t="s">
        <v>94</v>
      </c>
      <c r="P500" s="2">
        <v>5</v>
      </c>
      <c r="R500" s="43">
        <v>45551</v>
      </c>
      <c r="S500" s="2">
        <v>38</v>
      </c>
      <c r="T500" s="2" t="s">
        <v>519</v>
      </c>
      <c r="U500" s="2" t="s">
        <v>142</v>
      </c>
      <c r="V500" s="2" t="s">
        <v>143</v>
      </c>
      <c r="W500" s="2" t="s">
        <v>190</v>
      </c>
      <c r="X500" s="23">
        <v>8</v>
      </c>
      <c r="Y500" s="23">
        <v>12</v>
      </c>
      <c r="Z500" s="23">
        <v>6076</v>
      </c>
      <c r="AA500" s="24">
        <v>1.9749835418038102E-3</v>
      </c>
      <c r="AB500" s="14" t="str">
        <f>VLOOKUP(flu_aw24[[#This Row],[trust_code]],trust_lookup[],3,0)</f>
        <v>NELFT</v>
      </c>
      <c r="AD500" s="43">
        <v>45950</v>
      </c>
      <c r="AE500" s="2">
        <v>43</v>
      </c>
      <c r="AF500" s="2" t="s">
        <v>518</v>
      </c>
      <c r="AG500" s="2" t="s">
        <v>55</v>
      </c>
      <c r="AH500" s="2" t="s">
        <v>56</v>
      </c>
      <c r="AI500" s="2" t="s">
        <v>192</v>
      </c>
      <c r="AJ500" s="23">
        <v>273</v>
      </c>
      <c r="AK500" s="23">
        <v>1389</v>
      </c>
      <c r="AL500" s="23">
        <v>4899</v>
      </c>
      <c r="AM500" s="24">
        <v>0.28352725045927701</v>
      </c>
      <c r="AN500" s="44" t="str">
        <f>VLOOKUP(flu_aw25[[#This Row],[trust_code]],trust_lookup[],3,0)</f>
        <v>ChelWest</v>
      </c>
    </row>
    <row r="501" spans="1:40" x14ac:dyDescent="0.35">
      <c r="A501" s="2" t="s">
        <v>519</v>
      </c>
      <c r="B501" s="2" t="s">
        <v>76</v>
      </c>
      <c r="C501" s="2" t="s">
        <v>77</v>
      </c>
      <c r="D501" s="2" t="s">
        <v>194</v>
      </c>
      <c r="E501" s="2" t="s">
        <v>53</v>
      </c>
      <c r="F501" s="2">
        <v>2024</v>
      </c>
      <c r="G501" s="2">
        <v>836</v>
      </c>
      <c r="H501" s="14" t="str">
        <f>VLOOKUP(flu_group[[#This Row],[trust_code]],trust_lookup[],3,0)</f>
        <v>Epsom</v>
      </c>
      <c r="I501" s="14" t="str">
        <f>VLOOKUP(flu_group[[#This Row],[trust_code]],trust_lookup[],4,0)</f>
        <v>Acute</v>
      </c>
      <c r="K501" s="2" t="s">
        <v>518</v>
      </c>
      <c r="L501" s="2" t="s">
        <v>167</v>
      </c>
      <c r="M501" s="2" t="s">
        <v>168</v>
      </c>
      <c r="N501" s="2" t="s">
        <v>194</v>
      </c>
      <c r="O501" s="2" t="s">
        <v>29</v>
      </c>
      <c r="P501" s="2">
        <v>14</v>
      </c>
      <c r="R501" s="43">
        <v>45558</v>
      </c>
      <c r="S501" s="2">
        <v>39</v>
      </c>
      <c r="T501" s="2" t="s">
        <v>519</v>
      </c>
      <c r="U501" s="2" t="s">
        <v>142</v>
      </c>
      <c r="V501" s="2" t="s">
        <v>143</v>
      </c>
      <c r="W501" s="2" t="s">
        <v>190</v>
      </c>
      <c r="X501" s="23">
        <v>11</v>
      </c>
      <c r="Y501" s="23">
        <v>23</v>
      </c>
      <c r="Z501" s="23">
        <v>6076</v>
      </c>
      <c r="AA501" s="24">
        <v>3.7853851217906501E-3</v>
      </c>
      <c r="AB501" s="14" t="str">
        <f>VLOOKUP(flu_aw24[[#This Row],[trust_code]],trust_lookup[],3,0)</f>
        <v>NELFT</v>
      </c>
      <c r="AD501" s="43">
        <v>45957</v>
      </c>
      <c r="AE501" s="2">
        <v>44</v>
      </c>
      <c r="AF501" s="2" t="s">
        <v>518</v>
      </c>
      <c r="AG501" s="2" t="s">
        <v>55</v>
      </c>
      <c r="AH501" s="2" t="s">
        <v>56</v>
      </c>
      <c r="AI501" s="2" t="s">
        <v>192</v>
      </c>
      <c r="AJ501" s="23">
        <v>143</v>
      </c>
      <c r="AK501" s="23">
        <v>1532</v>
      </c>
      <c r="AL501" s="23">
        <v>4899</v>
      </c>
      <c r="AM501" s="24">
        <v>0.31271688099612099</v>
      </c>
      <c r="AN501" s="44" t="str">
        <f>VLOOKUP(flu_aw25[[#This Row],[trust_code]],trust_lookup[],3,0)</f>
        <v>ChelWest</v>
      </c>
    </row>
    <row r="502" spans="1:40" x14ac:dyDescent="0.35">
      <c r="A502" s="2" t="s">
        <v>519</v>
      </c>
      <c r="B502" s="2" t="s">
        <v>76</v>
      </c>
      <c r="C502" s="2" t="s">
        <v>77</v>
      </c>
      <c r="D502" s="2" t="s">
        <v>194</v>
      </c>
      <c r="E502" s="2" t="s">
        <v>35</v>
      </c>
      <c r="F502" s="2">
        <v>7</v>
      </c>
      <c r="G502" s="2">
        <v>1</v>
      </c>
      <c r="H502" s="14" t="str">
        <f>VLOOKUP(flu_group[[#This Row],[trust_code]],trust_lookup[],3,0)</f>
        <v>Epsom</v>
      </c>
      <c r="I502" s="14" t="str">
        <f>VLOOKUP(flu_group[[#This Row],[trust_code]],trust_lookup[],4,0)</f>
        <v>Acute</v>
      </c>
      <c r="K502" s="2" t="s">
        <v>518</v>
      </c>
      <c r="L502" s="2" t="s">
        <v>167</v>
      </c>
      <c r="M502" s="2" t="s">
        <v>168</v>
      </c>
      <c r="N502" s="2" t="s">
        <v>194</v>
      </c>
      <c r="O502" s="2" t="s">
        <v>123</v>
      </c>
      <c r="P502" s="2">
        <v>37</v>
      </c>
      <c r="R502" s="43">
        <v>45565</v>
      </c>
      <c r="S502" s="2">
        <v>40</v>
      </c>
      <c r="T502" s="2" t="s">
        <v>519</v>
      </c>
      <c r="U502" s="2" t="s">
        <v>142</v>
      </c>
      <c r="V502" s="2" t="s">
        <v>143</v>
      </c>
      <c r="W502" s="2" t="s">
        <v>190</v>
      </c>
      <c r="X502" s="23">
        <v>152</v>
      </c>
      <c r="Y502" s="23">
        <v>175</v>
      </c>
      <c r="Z502" s="23">
        <v>6076</v>
      </c>
      <c r="AA502" s="24">
        <v>2.8801843317972298E-2</v>
      </c>
      <c r="AB502" s="14" t="str">
        <f>VLOOKUP(flu_aw24[[#This Row],[trust_code]],trust_lookup[],3,0)</f>
        <v>NELFT</v>
      </c>
      <c r="AD502" s="43">
        <v>45964</v>
      </c>
      <c r="AE502" s="2">
        <v>45</v>
      </c>
      <c r="AF502" s="2" t="s">
        <v>518</v>
      </c>
      <c r="AG502" s="2" t="s">
        <v>55</v>
      </c>
      <c r="AH502" s="2" t="s">
        <v>56</v>
      </c>
      <c r="AI502" s="2" t="s">
        <v>192</v>
      </c>
      <c r="AJ502" s="23">
        <v>124</v>
      </c>
      <c r="AK502" s="23">
        <v>1656</v>
      </c>
      <c r="AL502" s="23">
        <v>4899</v>
      </c>
      <c r="AM502" s="24">
        <v>0.338028169014084</v>
      </c>
      <c r="AN502" s="44" t="str">
        <f>VLOOKUP(flu_aw25[[#This Row],[trust_code]],trust_lookup[],3,0)</f>
        <v>ChelWest</v>
      </c>
    </row>
    <row r="503" spans="1:40" x14ac:dyDescent="0.35">
      <c r="A503" s="2" t="s">
        <v>519</v>
      </c>
      <c r="B503" s="2" t="s">
        <v>113</v>
      </c>
      <c r="C503" s="2" t="s">
        <v>114</v>
      </c>
      <c r="D503" s="2" t="s">
        <v>194</v>
      </c>
      <c r="E503" s="2" t="s">
        <v>67</v>
      </c>
      <c r="F503" s="2">
        <v>113</v>
      </c>
      <c r="G503" s="2">
        <v>55</v>
      </c>
      <c r="H503" s="14" t="str">
        <f>VLOOKUP(flu_group[[#This Row],[trust_code]],trust_lookup[],3,0)</f>
        <v>K&amp;R FT</v>
      </c>
      <c r="I503" s="14" t="str">
        <f>VLOOKUP(flu_group[[#This Row],[trust_code]],trust_lookup[],4,0)</f>
        <v>Acute &amp; Community</v>
      </c>
      <c r="K503" s="2" t="s">
        <v>518</v>
      </c>
      <c r="L503" s="2" t="s">
        <v>167</v>
      </c>
      <c r="M503" s="2" t="s">
        <v>168</v>
      </c>
      <c r="N503" s="2" t="s">
        <v>194</v>
      </c>
      <c r="O503" s="2" t="s">
        <v>82</v>
      </c>
      <c r="P503" s="2">
        <v>5</v>
      </c>
      <c r="R503" s="43">
        <v>45572</v>
      </c>
      <c r="S503" s="2">
        <v>41</v>
      </c>
      <c r="T503" s="2" t="s">
        <v>519</v>
      </c>
      <c r="U503" s="2" t="s">
        <v>142</v>
      </c>
      <c r="V503" s="2" t="s">
        <v>143</v>
      </c>
      <c r="W503" s="2" t="s">
        <v>190</v>
      </c>
      <c r="X503" s="23">
        <v>294</v>
      </c>
      <c r="Y503" s="23">
        <v>469</v>
      </c>
      <c r="Z503" s="23">
        <v>6076</v>
      </c>
      <c r="AA503" s="24">
        <v>7.7188940092165897E-2</v>
      </c>
      <c r="AB503" s="14" t="str">
        <f>VLOOKUP(flu_aw24[[#This Row],[trust_code]],trust_lookup[],3,0)</f>
        <v>NELFT</v>
      </c>
      <c r="AD503" s="43">
        <v>45971</v>
      </c>
      <c r="AE503" s="2">
        <v>46</v>
      </c>
      <c r="AF503" s="2" t="s">
        <v>518</v>
      </c>
      <c r="AG503" s="2" t="s">
        <v>55</v>
      </c>
      <c r="AH503" s="2" t="s">
        <v>56</v>
      </c>
      <c r="AI503" s="2" t="s">
        <v>192</v>
      </c>
      <c r="AJ503" s="23">
        <v>107</v>
      </c>
      <c r="AK503" s="23">
        <v>1763</v>
      </c>
      <c r="AL503" s="23">
        <v>4899</v>
      </c>
      <c r="AM503" s="24">
        <v>0.3598693610941</v>
      </c>
      <c r="AN503" s="44" t="str">
        <f>VLOOKUP(flu_aw25[[#This Row],[trust_code]],trust_lookup[],3,0)</f>
        <v>ChelWest</v>
      </c>
    </row>
    <row r="504" spans="1:40" x14ac:dyDescent="0.35">
      <c r="A504" s="2" t="s">
        <v>519</v>
      </c>
      <c r="B504" s="2" t="s">
        <v>113</v>
      </c>
      <c r="C504" s="2" t="s">
        <v>114</v>
      </c>
      <c r="D504" s="2" t="s">
        <v>194</v>
      </c>
      <c r="E504" s="2" t="s">
        <v>81</v>
      </c>
      <c r="F504" s="2">
        <v>722</v>
      </c>
      <c r="G504" s="2">
        <v>213</v>
      </c>
      <c r="H504" s="14" t="str">
        <f>VLOOKUP(flu_group[[#This Row],[trust_code]],trust_lookup[],3,0)</f>
        <v>K&amp;R FT</v>
      </c>
      <c r="I504" s="14" t="str">
        <f>VLOOKUP(flu_group[[#This Row],[trust_code]],trust_lookup[],4,0)</f>
        <v>Acute &amp; Community</v>
      </c>
      <c r="K504" s="2" t="s">
        <v>518</v>
      </c>
      <c r="L504" s="2" t="s">
        <v>167</v>
      </c>
      <c r="M504" s="2" t="s">
        <v>168</v>
      </c>
      <c r="N504" s="2" t="s">
        <v>194</v>
      </c>
      <c r="O504" s="2" t="s">
        <v>88</v>
      </c>
      <c r="P504" s="2">
        <v>8</v>
      </c>
      <c r="R504" s="43">
        <v>45579</v>
      </c>
      <c r="S504" s="2">
        <v>42</v>
      </c>
      <c r="T504" s="2" t="s">
        <v>519</v>
      </c>
      <c r="U504" s="2" t="s">
        <v>142</v>
      </c>
      <c r="V504" s="2" t="s">
        <v>143</v>
      </c>
      <c r="W504" s="2" t="s">
        <v>190</v>
      </c>
      <c r="X504" s="23">
        <v>232</v>
      </c>
      <c r="Y504" s="23">
        <v>701</v>
      </c>
      <c r="Z504" s="23">
        <v>6076</v>
      </c>
      <c r="AA504" s="24">
        <v>0.115371955233706</v>
      </c>
      <c r="AB504" s="14" t="str">
        <f>VLOOKUP(flu_aw24[[#This Row],[trust_code]],trust_lookup[],3,0)</f>
        <v>NELFT</v>
      </c>
      <c r="AD504" s="43">
        <v>45978</v>
      </c>
      <c r="AE504" s="2">
        <v>47</v>
      </c>
      <c r="AF504" s="2" t="s">
        <v>518</v>
      </c>
      <c r="AG504" s="2" t="s">
        <v>55</v>
      </c>
      <c r="AH504" s="2" t="s">
        <v>56</v>
      </c>
      <c r="AI504" s="2" t="s">
        <v>192</v>
      </c>
      <c r="AJ504" s="23">
        <v>74</v>
      </c>
      <c r="AK504" s="23">
        <v>1837</v>
      </c>
      <c r="AL504" s="23">
        <v>4899</v>
      </c>
      <c r="AM504" s="24">
        <v>0.37497448458869098</v>
      </c>
      <c r="AN504" s="44" t="str">
        <f>VLOOKUP(flu_aw25[[#This Row],[trust_code]],trust_lookup[],3,0)</f>
        <v>ChelWest</v>
      </c>
    </row>
    <row r="505" spans="1:40" x14ac:dyDescent="0.35">
      <c r="A505" s="2" t="s">
        <v>519</v>
      </c>
      <c r="B505" s="2" t="s">
        <v>113</v>
      </c>
      <c r="C505" s="2" t="s">
        <v>114</v>
      </c>
      <c r="D505" s="2" t="s">
        <v>194</v>
      </c>
      <c r="E505" s="2" t="s">
        <v>46</v>
      </c>
      <c r="F505" s="2">
        <v>118</v>
      </c>
      <c r="G505" s="2">
        <v>54</v>
      </c>
      <c r="H505" s="14" t="str">
        <f>VLOOKUP(flu_group[[#This Row],[trust_code]],trust_lookup[],3,0)</f>
        <v>K&amp;R FT</v>
      </c>
      <c r="I505" s="14" t="str">
        <f>VLOOKUP(flu_group[[#This Row],[trust_code]],trust_lookup[],4,0)</f>
        <v>Acute &amp; Community</v>
      </c>
      <c r="K505" s="2" t="s">
        <v>518</v>
      </c>
      <c r="L505" s="2" t="s">
        <v>167</v>
      </c>
      <c r="M505" s="2" t="s">
        <v>168</v>
      </c>
      <c r="N505" s="2" t="s">
        <v>194</v>
      </c>
      <c r="O505" s="2" t="s">
        <v>141</v>
      </c>
      <c r="P505" s="2">
        <v>41</v>
      </c>
      <c r="R505" s="43">
        <v>45586</v>
      </c>
      <c r="S505" s="2">
        <v>43</v>
      </c>
      <c r="T505" s="2" t="s">
        <v>519</v>
      </c>
      <c r="U505" s="2" t="s">
        <v>142</v>
      </c>
      <c r="V505" s="2" t="s">
        <v>143</v>
      </c>
      <c r="W505" s="2" t="s">
        <v>190</v>
      </c>
      <c r="X505" s="23">
        <v>201</v>
      </c>
      <c r="Y505" s="23">
        <v>902</v>
      </c>
      <c r="Z505" s="23">
        <v>6076</v>
      </c>
      <c r="AA505" s="24">
        <v>0.14845292955892</v>
      </c>
      <c r="AB505" s="14" t="str">
        <f>VLOOKUP(flu_aw24[[#This Row],[trust_code]],trust_lookup[],3,0)</f>
        <v>NELFT</v>
      </c>
      <c r="AD505" s="43">
        <v>45985</v>
      </c>
      <c r="AE505" s="2">
        <v>48</v>
      </c>
      <c r="AF505" s="2" t="s">
        <v>518</v>
      </c>
      <c r="AG505" s="2" t="s">
        <v>55</v>
      </c>
      <c r="AH505" s="2" t="s">
        <v>56</v>
      </c>
      <c r="AI505" s="2" t="s">
        <v>192</v>
      </c>
      <c r="AJ505" s="23">
        <v>58</v>
      </c>
      <c r="AK505" s="23">
        <v>1895</v>
      </c>
      <c r="AL505" s="23">
        <v>4899</v>
      </c>
      <c r="AM505" s="24">
        <v>0.38681363543580299</v>
      </c>
      <c r="AN505" s="44" t="str">
        <f>VLOOKUP(flu_aw25[[#This Row],[trust_code]],trust_lookup[],3,0)</f>
        <v>ChelWest</v>
      </c>
    </row>
    <row r="506" spans="1:40" x14ac:dyDescent="0.35">
      <c r="A506" s="2" t="s">
        <v>519</v>
      </c>
      <c r="B506" s="2" t="s">
        <v>113</v>
      </c>
      <c r="C506" s="2" t="s">
        <v>114</v>
      </c>
      <c r="D506" s="2" t="s">
        <v>194</v>
      </c>
      <c r="E506" s="2" t="s">
        <v>60</v>
      </c>
      <c r="F506" s="2">
        <v>371</v>
      </c>
      <c r="G506" s="2">
        <v>151</v>
      </c>
      <c r="H506" s="14" t="str">
        <f>VLOOKUP(flu_group[[#This Row],[trust_code]],trust_lookup[],3,0)</f>
        <v>K&amp;R FT</v>
      </c>
      <c r="I506" s="14" t="str">
        <f>VLOOKUP(flu_group[[#This Row],[trust_code]],trust_lookup[],4,0)</f>
        <v>Acute &amp; Community</v>
      </c>
      <c r="K506" s="2" t="s">
        <v>518</v>
      </c>
      <c r="L506" s="2" t="s">
        <v>167</v>
      </c>
      <c r="M506" s="2" t="s">
        <v>168</v>
      </c>
      <c r="N506" s="2" t="s">
        <v>194</v>
      </c>
      <c r="O506" s="2" t="s">
        <v>61</v>
      </c>
      <c r="P506" s="2">
        <v>11</v>
      </c>
      <c r="R506" s="43">
        <v>45593</v>
      </c>
      <c r="S506" s="2">
        <v>44</v>
      </c>
      <c r="T506" s="2" t="s">
        <v>519</v>
      </c>
      <c r="U506" s="2" t="s">
        <v>142</v>
      </c>
      <c r="V506" s="2" t="s">
        <v>143</v>
      </c>
      <c r="W506" s="2" t="s">
        <v>190</v>
      </c>
      <c r="X506" s="23">
        <v>190</v>
      </c>
      <c r="Y506" s="23">
        <v>1092</v>
      </c>
      <c r="Z506" s="23">
        <v>6076</v>
      </c>
      <c r="AA506" s="24">
        <v>0.17972350230414699</v>
      </c>
      <c r="AB506" s="14" t="str">
        <f>VLOOKUP(flu_aw24[[#This Row],[trust_code]],trust_lookup[],3,0)</f>
        <v>NELFT</v>
      </c>
      <c r="AD506" s="43">
        <v>45992</v>
      </c>
      <c r="AE506" s="2">
        <v>49</v>
      </c>
      <c r="AF506" s="2" t="s">
        <v>518</v>
      </c>
      <c r="AG506" s="2" t="s">
        <v>55</v>
      </c>
      <c r="AH506" s="2" t="s">
        <v>56</v>
      </c>
      <c r="AI506" s="2" t="s">
        <v>192</v>
      </c>
      <c r="AJ506" s="23">
        <v>68</v>
      </c>
      <c r="AK506" s="23">
        <v>1963</v>
      </c>
      <c r="AL506" s="23">
        <v>4899</v>
      </c>
      <c r="AM506" s="24">
        <v>0.40069401918758901</v>
      </c>
      <c r="AN506" s="44" t="str">
        <f>VLOOKUP(flu_aw25[[#This Row],[trust_code]],trust_lookup[],3,0)</f>
        <v>ChelWest</v>
      </c>
    </row>
    <row r="507" spans="1:40" x14ac:dyDescent="0.35">
      <c r="A507" s="2" t="s">
        <v>519</v>
      </c>
      <c r="B507" s="2" t="s">
        <v>113</v>
      </c>
      <c r="C507" s="2" t="s">
        <v>114</v>
      </c>
      <c r="D507" s="2" t="s">
        <v>194</v>
      </c>
      <c r="E507" s="2" t="s">
        <v>28</v>
      </c>
      <c r="F507" s="2">
        <v>71</v>
      </c>
      <c r="G507" s="2">
        <v>23</v>
      </c>
      <c r="H507" s="14" t="str">
        <f>VLOOKUP(flu_group[[#This Row],[trust_code]],trust_lookup[],3,0)</f>
        <v>K&amp;R FT</v>
      </c>
      <c r="I507" s="14" t="str">
        <f>VLOOKUP(flu_group[[#This Row],[trust_code]],trust_lookup[],4,0)</f>
        <v>Acute &amp; Community</v>
      </c>
      <c r="K507" s="2" t="s">
        <v>518</v>
      </c>
      <c r="L507" s="2" t="s">
        <v>167</v>
      </c>
      <c r="M507" s="2" t="s">
        <v>168</v>
      </c>
      <c r="N507" s="2" t="s">
        <v>194</v>
      </c>
      <c r="O507" s="2" t="s">
        <v>100</v>
      </c>
      <c r="P507" s="2">
        <v>193</v>
      </c>
      <c r="R507" s="43">
        <v>45600</v>
      </c>
      <c r="S507" s="2">
        <v>45</v>
      </c>
      <c r="T507" s="2" t="s">
        <v>519</v>
      </c>
      <c r="U507" s="2" t="s">
        <v>142</v>
      </c>
      <c r="V507" s="2" t="s">
        <v>143</v>
      </c>
      <c r="W507" s="2" t="s">
        <v>190</v>
      </c>
      <c r="X507" s="23">
        <v>163</v>
      </c>
      <c r="Y507" s="23">
        <v>1255</v>
      </c>
      <c r="Z507" s="23">
        <v>6076</v>
      </c>
      <c r="AA507" s="24">
        <v>0.20655036208031599</v>
      </c>
      <c r="AB507" s="14" t="str">
        <f>VLOOKUP(flu_aw24[[#This Row],[trust_code]],trust_lookup[],3,0)</f>
        <v>NELFT</v>
      </c>
      <c r="AD507" s="43">
        <v>45999</v>
      </c>
      <c r="AE507" s="2">
        <v>50</v>
      </c>
      <c r="AF507" s="2" t="s">
        <v>518</v>
      </c>
      <c r="AG507" s="2" t="s">
        <v>55</v>
      </c>
      <c r="AH507" s="2" t="s">
        <v>56</v>
      </c>
      <c r="AI507" s="2" t="s">
        <v>192</v>
      </c>
      <c r="AJ507" s="23">
        <v>88</v>
      </c>
      <c r="AK507" s="23">
        <v>2051</v>
      </c>
      <c r="AL507" s="23">
        <v>4899</v>
      </c>
      <c r="AM507" s="24">
        <v>0.41865686874872399</v>
      </c>
      <c r="AN507" s="44" t="str">
        <f>VLOOKUP(flu_aw25[[#This Row],[trust_code]],trust_lookup[],3,0)</f>
        <v>ChelWest</v>
      </c>
    </row>
    <row r="508" spans="1:40" x14ac:dyDescent="0.35">
      <c r="A508" s="2" t="s">
        <v>519</v>
      </c>
      <c r="B508" s="2" t="s">
        <v>113</v>
      </c>
      <c r="C508" s="2" t="s">
        <v>114</v>
      </c>
      <c r="D508" s="2" t="s">
        <v>194</v>
      </c>
      <c r="E508" s="2" t="s">
        <v>74</v>
      </c>
      <c r="F508" s="2">
        <v>82</v>
      </c>
      <c r="G508" s="2">
        <v>41</v>
      </c>
      <c r="H508" s="14" t="str">
        <f>VLOOKUP(flu_group[[#This Row],[trust_code]],trust_lookup[],3,0)</f>
        <v>K&amp;R FT</v>
      </c>
      <c r="I508" s="14" t="str">
        <f>VLOOKUP(flu_group[[#This Row],[trust_code]],trust_lookup[],4,0)</f>
        <v>Acute &amp; Community</v>
      </c>
      <c r="K508" s="2" t="s">
        <v>518</v>
      </c>
      <c r="L508" s="2" t="s">
        <v>167</v>
      </c>
      <c r="M508" s="2" t="s">
        <v>168</v>
      </c>
      <c r="N508" s="2" t="s">
        <v>194</v>
      </c>
      <c r="O508" s="2" t="s">
        <v>75</v>
      </c>
      <c r="P508" s="2">
        <v>36</v>
      </c>
      <c r="R508" s="43">
        <v>45607</v>
      </c>
      <c r="S508" s="2">
        <v>46</v>
      </c>
      <c r="T508" s="2" t="s">
        <v>519</v>
      </c>
      <c r="U508" s="2" t="s">
        <v>142</v>
      </c>
      <c r="V508" s="2" t="s">
        <v>143</v>
      </c>
      <c r="W508" s="2" t="s">
        <v>190</v>
      </c>
      <c r="X508" s="23">
        <v>100</v>
      </c>
      <c r="Y508" s="23">
        <v>1355</v>
      </c>
      <c r="Z508" s="23">
        <v>6076</v>
      </c>
      <c r="AA508" s="24">
        <v>0.22300855826201399</v>
      </c>
      <c r="AB508" s="14" t="str">
        <f>VLOOKUP(flu_aw24[[#This Row],[trust_code]],trust_lookup[],3,0)</f>
        <v>NELFT</v>
      </c>
      <c r="AD508" s="43">
        <v>46006</v>
      </c>
      <c r="AE508" s="2">
        <v>51</v>
      </c>
      <c r="AF508" s="2" t="s">
        <v>518</v>
      </c>
      <c r="AG508" s="2" t="s">
        <v>55</v>
      </c>
      <c r="AH508" s="2" t="s">
        <v>56</v>
      </c>
      <c r="AI508" s="2" t="s">
        <v>192</v>
      </c>
      <c r="AJ508" s="23">
        <v>74</v>
      </c>
      <c r="AK508" s="23">
        <v>2125</v>
      </c>
      <c r="AL508" s="23">
        <v>4899</v>
      </c>
      <c r="AM508" s="24">
        <v>0.43376199224331402</v>
      </c>
      <c r="AN508" s="44" t="str">
        <f>VLOOKUP(flu_aw25[[#This Row],[trust_code]],trust_lookup[],3,0)</f>
        <v>ChelWest</v>
      </c>
    </row>
    <row r="509" spans="1:40" x14ac:dyDescent="0.35">
      <c r="A509" s="2" t="s">
        <v>519</v>
      </c>
      <c r="B509" s="2" t="s">
        <v>113</v>
      </c>
      <c r="C509" s="2" t="s">
        <v>114</v>
      </c>
      <c r="D509" s="2" t="s">
        <v>194</v>
      </c>
      <c r="E509" s="2" t="s">
        <v>42</v>
      </c>
      <c r="F509" s="2">
        <v>823</v>
      </c>
      <c r="G509" s="2">
        <v>411</v>
      </c>
      <c r="H509" s="14" t="str">
        <f>VLOOKUP(flu_group[[#This Row],[trust_code]],trust_lookup[],3,0)</f>
        <v>K&amp;R FT</v>
      </c>
      <c r="I509" s="14" t="str">
        <f>VLOOKUP(flu_group[[#This Row],[trust_code]],trust_lookup[],4,0)</f>
        <v>Acute &amp; Community</v>
      </c>
      <c r="K509" s="2" t="s">
        <v>518</v>
      </c>
      <c r="L509" s="2" t="s">
        <v>167</v>
      </c>
      <c r="M509" s="2" t="s">
        <v>168</v>
      </c>
      <c r="N509" s="2" t="s">
        <v>194</v>
      </c>
      <c r="O509" s="2" t="s">
        <v>106</v>
      </c>
      <c r="P509" s="2">
        <v>10</v>
      </c>
      <c r="R509" s="43">
        <v>45614</v>
      </c>
      <c r="S509" s="2">
        <v>47</v>
      </c>
      <c r="T509" s="2" t="s">
        <v>519</v>
      </c>
      <c r="U509" s="2" t="s">
        <v>142</v>
      </c>
      <c r="V509" s="2" t="s">
        <v>143</v>
      </c>
      <c r="W509" s="2" t="s">
        <v>190</v>
      </c>
      <c r="X509" s="23">
        <v>98</v>
      </c>
      <c r="Y509" s="23">
        <v>1453</v>
      </c>
      <c r="Z509" s="23">
        <v>6076</v>
      </c>
      <c r="AA509" s="24">
        <v>0.23913759052007899</v>
      </c>
      <c r="AB509" s="14" t="str">
        <f>VLOOKUP(flu_aw24[[#This Row],[trust_code]],trust_lookup[],3,0)</f>
        <v>NELFT</v>
      </c>
      <c r="AD509" s="43">
        <v>46013</v>
      </c>
      <c r="AE509" s="2">
        <v>52</v>
      </c>
      <c r="AF509" s="2" t="s">
        <v>518</v>
      </c>
      <c r="AG509" s="2" t="s">
        <v>55</v>
      </c>
      <c r="AH509" s="2" t="s">
        <v>56</v>
      </c>
      <c r="AI509" s="2" t="s">
        <v>192</v>
      </c>
      <c r="AJ509" s="23">
        <v>13</v>
      </c>
      <c r="AK509" s="23">
        <v>2138</v>
      </c>
      <c r="AL509" s="23">
        <v>4899</v>
      </c>
      <c r="AM509" s="24">
        <v>0.43641559501939098</v>
      </c>
      <c r="AN509" s="44" t="str">
        <f>VLOOKUP(flu_aw25[[#This Row],[trust_code]],trust_lookup[],3,0)</f>
        <v>ChelWest</v>
      </c>
    </row>
    <row r="510" spans="1:40" x14ac:dyDescent="0.35">
      <c r="A510" s="2" t="s">
        <v>519</v>
      </c>
      <c r="B510" s="2" t="s">
        <v>113</v>
      </c>
      <c r="C510" s="2" t="s">
        <v>114</v>
      </c>
      <c r="D510" s="2" t="s">
        <v>194</v>
      </c>
      <c r="E510" s="2" t="s">
        <v>53</v>
      </c>
      <c r="F510" s="2">
        <v>1501</v>
      </c>
      <c r="G510" s="2">
        <v>695</v>
      </c>
      <c r="H510" s="14" t="str">
        <f>VLOOKUP(flu_group[[#This Row],[trust_code]],trust_lookup[],3,0)</f>
        <v>K&amp;R FT</v>
      </c>
      <c r="I510" s="14" t="str">
        <f>VLOOKUP(flu_group[[#This Row],[trust_code]],trust_lookup[],4,0)</f>
        <v>Acute &amp; Community</v>
      </c>
      <c r="K510" s="2" t="s">
        <v>518</v>
      </c>
      <c r="L510" s="2" t="s">
        <v>167</v>
      </c>
      <c r="M510" s="2" t="s">
        <v>168</v>
      </c>
      <c r="N510" s="2" t="s">
        <v>194</v>
      </c>
      <c r="O510" s="2" t="s">
        <v>112</v>
      </c>
      <c r="P510" s="2">
        <v>37</v>
      </c>
      <c r="R510" s="43">
        <v>45621</v>
      </c>
      <c r="S510" s="2">
        <v>48</v>
      </c>
      <c r="T510" s="2" t="s">
        <v>519</v>
      </c>
      <c r="U510" s="2" t="s">
        <v>142</v>
      </c>
      <c r="V510" s="2" t="s">
        <v>143</v>
      </c>
      <c r="W510" s="2" t="s">
        <v>190</v>
      </c>
      <c r="X510" s="23">
        <v>68</v>
      </c>
      <c r="Y510" s="23">
        <v>1521</v>
      </c>
      <c r="Z510" s="23">
        <v>6076</v>
      </c>
      <c r="AA510" s="24">
        <v>0.25032916392363302</v>
      </c>
      <c r="AB510" s="14" t="str">
        <f>VLOOKUP(flu_aw24[[#This Row],[trust_code]],trust_lookup[],3,0)</f>
        <v>NELFT</v>
      </c>
      <c r="AD510" s="43">
        <v>46020</v>
      </c>
      <c r="AE510" s="2">
        <v>1</v>
      </c>
      <c r="AF510" s="2" t="s">
        <v>518</v>
      </c>
      <c r="AG510" s="2" t="s">
        <v>55</v>
      </c>
      <c r="AH510" s="2" t="s">
        <v>56</v>
      </c>
      <c r="AI510" s="2" t="s">
        <v>192</v>
      </c>
      <c r="AJ510" s="23">
        <v>25</v>
      </c>
      <c r="AK510" s="23">
        <v>2163</v>
      </c>
      <c r="AL510" s="23">
        <v>4899</v>
      </c>
      <c r="AM510" s="24">
        <v>0.44151867728107702</v>
      </c>
      <c r="AN510" s="44" t="str">
        <f>VLOOKUP(flu_aw25[[#This Row],[trust_code]],trust_lookup[],3,0)</f>
        <v>ChelWest</v>
      </c>
    </row>
    <row r="511" spans="1:40" x14ac:dyDescent="0.35">
      <c r="A511" s="2" t="s">
        <v>519</v>
      </c>
      <c r="B511" s="2" t="s">
        <v>113</v>
      </c>
      <c r="C511" s="2" t="s">
        <v>114</v>
      </c>
      <c r="D511" s="2" t="s">
        <v>194</v>
      </c>
      <c r="E511" s="2" t="s">
        <v>35</v>
      </c>
      <c r="F511" s="2">
        <v>7</v>
      </c>
      <c r="G511" s="2">
        <v>1</v>
      </c>
      <c r="H511" s="14" t="str">
        <f>VLOOKUP(flu_group[[#This Row],[trust_code]],trust_lookup[],3,0)</f>
        <v>K&amp;R FT</v>
      </c>
      <c r="I511" s="14" t="str">
        <f>VLOOKUP(flu_group[[#This Row],[trust_code]],trust_lookup[],4,0)</f>
        <v>Acute &amp; Community</v>
      </c>
      <c r="K511" s="2" t="s">
        <v>518</v>
      </c>
      <c r="L511" s="2" t="s">
        <v>167</v>
      </c>
      <c r="M511" s="2" t="s">
        <v>168</v>
      </c>
      <c r="N511" s="2" t="s">
        <v>194</v>
      </c>
      <c r="O511" s="2" t="s">
        <v>36</v>
      </c>
      <c r="P511" s="2">
        <v>43</v>
      </c>
      <c r="R511" s="43">
        <v>45628</v>
      </c>
      <c r="S511" s="2">
        <v>49</v>
      </c>
      <c r="T511" s="2" t="s">
        <v>519</v>
      </c>
      <c r="U511" s="2" t="s">
        <v>142</v>
      </c>
      <c r="V511" s="2" t="s">
        <v>143</v>
      </c>
      <c r="W511" s="2" t="s">
        <v>190</v>
      </c>
      <c r="X511" s="23">
        <v>43</v>
      </c>
      <c r="Y511" s="23">
        <v>1564</v>
      </c>
      <c r="Z511" s="23">
        <v>6076</v>
      </c>
      <c r="AA511" s="24">
        <v>0.25740618828176398</v>
      </c>
      <c r="AB511" s="14" t="str">
        <f>VLOOKUP(flu_aw24[[#This Row],[trust_code]],trust_lookup[],3,0)</f>
        <v>NELFT</v>
      </c>
      <c r="AD511" s="43">
        <v>46027</v>
      </c>
      <c r="AE511" s="2">
        <v>2</v>
      </c>
      <c r="AF511" s="2" t="s">
        <v>518</v>
      </c>
      <c r="AG511" s="2" t="s">
        <v>55</v>
      </c>
      <c r="AH511" s="2" t="s">
        <v>56</v>
      </c>
      <c r="AI511" s="2" t="s">
        <v>192</v>
      </c>
      <c r="AJ511" s="23">
        <v>6</v>
      </c>
      <c r="AK511" s="23">
        <v>2169</v>
      </c>
      <c r="AL511" s="23">
        <v>4899</v>
      </c>
      <c r="AM511" s="24">
        <v>0.44274341702388198</v>
      </c>
      <c r="AN511" s="44" t="str">
        <f>VLOOKUP(flu_aw25[[#This Row],[trust_code]],trust_lookup[],3,0)</f>
        <v>ChelWest</v>
      </c>
    </row>
    <row r="512" spans="1:40" x14ac:dyDescent="0.35">
      <c r="A512" s="2" t="s">
        <v>519</v>
      </c>
      <c r="B512" s="2" t="s">
        <v>167</v>
      </c>
      <c r="C512" s="2" t="s">
        <v>168</v>
      </c>
      <c r="D512" s="2" t="s">
        <v>194</v>
      </c>
      <c r="E512" s="2" t="s">
        <v>67</v>
      </c>
      <c r="F512" s="2">
        <v>398</v>
      </c>
      <c r="G512" s="2">
        <v>138</v>
      </c>
      <c r="H512" s="14" t="str">
        <f>VLOOKUP(flu_group[[#This Row],[trust_code]],trust_lookup[],3,0)</f>
        <v>SWL&amp;StG</v>
      </c>
      <c r="I512" s="14" t="str">
        <f>VLOOKUP(flu_group[[#This Row],[trust_code]],trust_lookup[],4,0)</f>
        <v>Mental Health</v>
      </c>
      <c r="K512" s="2" t="s">
        <v>518</v>
      </c>
      <c r="L512" s="2" t="s">
        <v>170</v>
      </c>
      <c r="M512" s="2" t="s">
        <v>171</v>
      </c>
      <c r="N512" s="2" t="s">
        <v>194</v>
      </c>
      <c r="O512" s="2" t="s">
        <v>68</v>
      </c>
      <c r="P512" s="2">
        <v>1055</v>
      </c>
      <c r="R512" s="43">
        <v>45635</v>
      </c>
      <c r="S512" s="2">
        <v>50</v>
      </c>
      <c r="T512" s="2" t="s">
        <v>519</v>
      </c>
      <c r="U512" s="2" t="s">
        <v>142</v>
      </c>
      <c r="V512" s="2" t="s">
        <v>143</v>
      </c>
      <c r="W512" s="2" t="s">
        <v>190</v>
      </c>
      <c r="X512" s="23">
        <v>41</v>
      </c>
      <c r="Y512" s="23">
        <v>1605</v>
      </c>
      <c r="Z512" s="23">
        <v>6076</v>
      </c>
      <c r="AA512" s="24">
        <v>0.26415404871626003</v>
      </c>
      <c r="AB512" s="14" t="str">
        <f>VLOOKUP(flu_aw24[[#This Row],[trust_code]],trust_lookup[],3,0)</f>
        <v>NELFT</v>
      </c>
      <c r="AD512" s="43">
        <v>46034</v>
      </c>
      <c r="AE512" s="2">
        <v>3</v>
      </c>
      <c r="AF512" s="2" t="s">
        <v>518</v>
      </c>
      <c r="AG512" s="2" t="s">
        <v>55</v>
      </c>
      <c r="AH512" s="2" t="s">
        <v>56</v>
      </c>
      <c r="AI512" s="2" t="s">
        <v>192</v>
      </c>
      <c r="AJ512" s="23">
        <v>6</v>
      </c>
      <c r="AK512" s="23">
        <v>2175</v>
      </c>
      <c r="AL512" s="23">
        <v>4899</v>
      </c>
      <c r="AM512" s="24">
        <v>0.44396815676668699</v>
      </c>
      <c r="AN512" s="44" t="str">
        <f>VLOOKUP(flu_aw25[[#This Row],[trust_code]],trust_lookup[],3,0)</f>
        <v>ChelWest</v>
      </c>
    </row>
    <row r="513" spans="1:40" x14ac:dyDescent="0.35">
      <c r="A513" s="2" t="s">
        <v>519</v>
      </c>
      <c r="B513" s="2" t="s">
        <v>167</v>
      </c>
      <c r="C513" s="2" t="s">
        <v>168</v>
      </c>
      <c r="D513" s="2" t="s">
        <v>194</v>
      </c>
      <c r="E513" s="2" t="s">
        <v>81</v>
      </c>
      <c r="F513" s="2">
        <v>901</v>
      </c>
      <c r="G513" s="2">
        <v>207</v>
      </c>
      <c r="H513" s="14" t="str">
        <f>VLOOKUP(flu_group[[#This Row],[trust_code]],trust_lookup[],3,0)</f>
        <v>SWL&amp;StG</v>
      </c>
      <c r="I513" s="14" t="str">
        <f>VLOOKUP(flu_group[[#This Row],[trust_code]],trust_lookup[],4,0)</f>
        <v>Mental Health</v>
      </c>
      <c r="K513" s="2" t="s">
        <v>518</v>
      </c>
      <c r="L513" s="2" t="s">
        <v>170</v>
      </c>
      <c r="M513" s="2" t="s">
        <v>171</v>
      </c>
      <c r="N513" s="2" t="s">
        <v>194</v>
      </c>
      <c r="O513" s="2" t="s">
        <v>135</v>
      </c>
      <c r="P513" s="2">
        <v>67</v>
      </c>
      <c r="R513" s="43">
        <v>45642</v>
      </c>
      <c r="S513" s="2">
        <v>51</v>
      </c>
      <c r="T513" s="2" t="s">
        <v>519</v>
      </c>
      <c r="U513" s="2" t="s">
        <v>142</v>
      </c>
      <c r="V513" s="2" t="s">
        <v>143</v>
      </c>
      <c r="W513" s="2" t="s">
        <v>190</v>
      </c>
      <c r="X513" s="23">
        <v>30</v>
      </c>
      <c r="Y513" s="23">
        <v>1635</v>
      </c>
      <c r="Z513" s="23">
        <v>6076</v>
      </c>
      <c r="AA513" s="24">
        <v>0.26909150757076999</v>
      </c>
      <c r="AB513" s="14" t="str">
        <f>VLOOKUP(flu_aw24[[#This Row],[trust_code]],trust_lookup[],3,0)</f>
        <v>NELFT</v>
      </c>
      <c r="AD513" s="43">
        <v>46041</v>
      </c>
      <c r="AE513" s="2">
        <v>4</v>
      </c>
      <c r="AF513" s="2" t="s">
        <v>518</v>
      </c>
      <c r="AG513" s="2" t="s">
        <v>55</v>
      </c>
      <c r="AH513" s="2" t="s">
        <v>56</v>
      </c>
      <c r="AI513" s="2" t="s">
        <v>192</v>
      </c>
      <c r="AJ513" s="23">
        <v>6</v>
      </c>
      <c r="AK513" s="23">
        <v>2181</v>
      </c>
      <c r="AL513" s="23">
        <v>4899</v>
      </c>
      <c r="AM513" s="24">
        <v>0.44519289650949101</v>
      </c>
      <c r="AN513" s="44" t="str">
        <f>VLOOKUP(flu_aw25[[#This Row],[trust_code]],trust_lookup[],3,0)</f>
        <v>ChelWest</v>
      </c>
    </row>
    <row r="514" spans="1:40" x14ac:dyDescent="0.35">
      <c r="A514" s="2" t="s">
        <v>519</v>
      </c>
      <c r="B514" s="2" t="s">
        <v>167</v>
      </c>
      <c r="C514" s="2" t="s">
        <v>168</v>
      </c>
      <c r="D514" s="2" t="s">
        <v>194</v>
      </c>
      <c r="E514" s="2" t="s">
        <v>46</v>
      </c>
      <c r="F514" s="2">
        <v>5</v>
      </c>
      <c r="G514" s="2">
        <v>1</v>
      </c>
      <c r="H514" s="14" t="str">
        <f>VLOOKUP(flu_group[[#This Row],[trust_code]],trust_lookup[],3,0)</f>
        <v>SWL&amp;StG</v>
      </c>
      <c r="I514" s="14" t="str">
        <f>VLOOKUP(flu_group[[#This Row],[trust_code]],trust_lookup[],4,0)</f>
        <v>Mental Health</v>
      </c>
      <c r="K514" s="2" t="s">
        <v>518</v>
      </c>
      <c r="L514" s="2" t="s">
        <v>170</v>
      </c>
      <c r="M514" s="2" t="s">
        <v>171</v>
      </c>
      <c r="N514" s="2" t="s">
        <v>194</v>
      </c>
      <c r="O514" s="2" t="s">
        <v>54</v>
      </c>
      <c r="P514" s="2">
        <v>311</v>
      </c>
      <c r="R514" s="43">
        <v>45649</v>
      </c>
      <c r="S514" s="2">
        <v>52</v>
      </c>
      <c r="T514" s="2" t="s">
        <v>519</v>
      </c>
      <c r="U514" s="2" t="s">
        <v>142</v>
      </c>
      <c r="V514" s="2" t="s">
        <v>143</v>
      </c>
      <c r="W514" s="2" t="s">
        <v>190</v>
      </c>
      <c r="X514" s="23">
        <v>1</v>
      </c>
      <c r="Y514" s="23">
        <v>1636</v>
      </c>
      <c r="Z514" s="23">
        <v>6076</v>
      </c>
      <c r="AA514" s="24">
        <v>0.26925608953258701</v>
      </c>
      <c r="AB514" s="14" t="str">
        <f>VLOOKUP(flu_aw24[[#This Row],[trust_code]],trust_lookup[],3,0)</f>
        <v>NELFT</v>
      </c>
      <c r="AD514" s="43">
        <v>46048</v>
      </c>
      <c r="AE514" s="2">
        <v>5</v>
      </c>
      <c r="AF514" s="2" t="s">
        <v>518</v>
      </c>
      <c r="AG514" s="2" t="s">
        <v>55</v>
      </c>
      <c r="AH514" s="2" t="s">
        <v>56</v>
      </c>
      <c r="AI514" s="2" t="s">
        <v>192</v>
      </c>
      <c r="AJ514" s="23">
        <v>1</v>
      </c>
      <c r="AK514" s="23">
        <v>2182</v>
      </c>
      <c r="AL514" s="23">
        <v>4899</v>
      </c>
      <c r="AM514" s="24">
        <v>0.44539701979995899</v>
      </c>
      <c r="AN514" s="44" t="str">
        <f>VLOOKUP(flu_aw25[[#This Row],[trust_code]],trust_lookup[],3,0)</f>
        <v>ChelWest</v>
      </c>
    </row>
    <row r="515" spans="1:40" x14ac:dyDescent="0.35">
      <c r="A515" s="2" t="s">
        <v>519</v>
      </c>
      <c r="B515" s="2" t="s">
        <v>167</v>
      </c>
      <c r="C515" s="2" t="s">
        <v>168</v>
      </c>
      <c r="D515" s="2" t="s">
        <v>194</v>
      </c>
      <c r="E515" s="2" t="s">
        <v>60</v>
      </c>
      <c r="F515" s="2">
        <v>120</v>
      </c>
      <c r="G515" s="2">
        <v>42</v>
      </c>
      <c r="H515" s="14" t="str">
        <f>VLOOKUP(flu_group[[#This Row],[trust_code]],trust_lookup[],3,0)</f>
        <v>SWL&amp;StG</v>
      </c>
      <c r="I515" s="14" t="str">
        <f>VLOOKUP(flu_group[[#This Row],[trust_code]],trust_lookup[],4,0)</f>
        <v>Mental Health</v>
      </c>
      <c r="K515" s="2" t="s">
        <v>518</v>
      </c>
      <c r="L515" s="2" t="s">
        <v>170</v>
      </c>
      <c r="M515" s="2" t="s">
        <v>171</v>
      </c>
      <c r="N515" s="2" t="s">
        <v>194</v>
      </c>
      <c r="O515" s="2" t="s">
        <v>129</v>
      </c>
      <c r="P515" s="2">
        <v>7</v>
      </c>
      <c r="R515" s="43">
        <v>45656</v>
      </c>
      <c r="S515" s="2">
        <v>1</v>
      </c>
      <c r="T515" s="2" t="s">
        <v>519</v>
      </c>
      <c r="U515" s="2" t="s">
        <v>142</v>
      </c>
      <c r="V515" s="2" t="s">
        <v>143</v>
      </c>
      <c r="W515" s="2" t="s">
        <v>190</v>
      </c>
      <c r="X515" s="23">
        <v>7</v>
      </c>
      <c r="Y515" s="23">
        <v>1643</v>
      </c>
      <c r="Z515" s="23">
        <v>6076</v>
      </c>
      <c r="AA515" s="24">
        <v>0.27040816326530598</v>
      </c>
      <c r="AB515" s="14" t="str">
        <f>VLOOKUP(flu_aw24[[#This Row],[trust_code]],trust_lookup[],3,0)</f>
        <v>NELFT</v>
      </c>
      <c r="AD515" s="43">
        <v>46055</v>
      </c>
      <c r="AE515" s="2">
        <v>6</v>
      </c>
      <c r="AF515" s="2" t="s">
        <v>518</v>
      </c>
      <c r="AG515" s="2" t="s">
        <v>55</v>
      </c>
      <c r="AH515" s="2" t="s">
        <v>56</v>
      </c>
      <c r="AI515" s="2" t="s">
        <v>192</v>
      </c>
      <c r="AJ515" s="23">
        <v>1</v>
      </c>
      <c r="AK515" s="23">
        <v>2183</v>
      </c>
      <c r="AL515" s="23">
        <v>4899</v>
      </c>
      <c r="AM515" s="24">
        <v>0.44560114309042598</v>
      </c>
      <c r="AN515" s="44" t="str">
        <f>VLOOKUP(flu_aw25[[#This Row],[trust_code]],trust_lookup[],3,0)</f>
        <v>ChelWest</v>
      </c>
    </row>
    <row r="516" spans="1:40" x14ac:dyDescent="0.35">
      <c r="A516" s="2" t="s">
        <v>519</v>
      </c>
      <c r="B516" s="2" t="s">
        <v>167</v>
      </c>
      <c r="C516" s="2" t="s">
        <v>168</v>
      </c>
      <c r="D516" s="2" t="s">
        <v>194</v>
      </c>
      <c r="E516" s="2" t="s">
        <v>28</v>
      </c>
      <c r="F516" s="2">
        <v>27</v>
      </c>
      <c r="G516" s="2">
        <v>6</v>
      </c>
      <c r="H516" s="14" t="str">
        <f>VLOOKUP(flu_group[[#This Row],[trust_code]],trust_lookup[],3,0)</f>
        <v>SWL&amp;StG</v>
      </c>
      <c r="I516" s="14" t="str">
        <f>VLOOKUP(flu_group[[#This Row],[trust_code]],trust_lookup[],4,0)</f>
        <v>Mental Health</v>
      </c>
      <c r="K516" s="2" t="s">
        <v>518</v>
      </c>
      <c r="L516" s="2" t="s">
        <v>170</v>
      </c>
      <c r="M516" s="2" t="s">
        <v>171</v>
      </c>
      <c r="N516" s="2" t="s">
        <v>194</v>
      </c>
      <c r="O516" s="2" t="s">
        <v>47</v>
      </c>
      <c r="P516" s="2">
        <v>12</v>
      </c>
      <c r="R516" s="43">
        <v>45663</v>
      </c>
      <c r="S516" s="2">
        <v>2</v>
      </c>
      <c r="T516" s="2" t="s">
        <v>519</v>
      </c>
      <c r="U516" s="2" t="s">
        <v>142</v>
      </c>
      <c r="V516" s="2" t="s">
        <v>143</v>
      </c>
      <c r="W516" s="2" t="s">
        <v>190</v>
      </c>
      <c r="X516" s="23">
        <v>28</v>
      </c>
      <c r="Y516" s="23">
        <v>1671</v>
      </c>
      <c r="Z516" s="23">
        <v>6076</v>
      </c>
      <c r="AA516" s="24">
        <v>0.27501645819618098</v>
      </c>
      <c r="AB516" s="14" t="str">
        <f>VLOOKUP(flu_aw24[[#This Row],[trust_code]],trust_lookup[],3,0)</f>
        <v>NELFT</v>
      </c>
      <c r="AD516" s="43">
        <v>46062</v>
      </c>
      <c r="AE516" s="2">
        <v>7</v>
      </c>
      <c r="AF516" s="2" t="s">
        <v>518</v>
      </c>
      <c r="AG516" s="2" t="s">
        <v>55</v>
      </c>
      <c r="AH516" s="2" t="s">
        <v>56</v>
      </c>
      <c r="AI516" s="2" t="s">
        <v>192</v>
      </c>
      <c r="AJ516" s="23">
        <v>2</v>
      </c>
      <c r="AK516" s="23">
        <v>2185</v>
      </c>
      <c r="AL516" s="23">
        <v>4899</v>
      </c>
      <c r="AM516" s="24">
        <v>0.446009389671361</v>
      </c>
      <c r="AN516" s="44" t="str">
        <f>VLOOKUP(flu_aw25[[#This Row],[trust_code]],trust_lookup[],3,0)</f>
        <v>ChelWest</v>
      </c>
    </row>
    <row r="517" spans="1:40" x14ac:dyDescent="0.35">
      <c r="A517" s="2" t="s">
        <v>519</v>
      </c>
      <c r="B517" s="2" t="s">
        <v>167</v>
      </c>
      <c r="C517" s="2" t="s">
        <v>168</v>
      </c>
      <c r="D517" s="2" t="s">
        <v>194</v>
      </c>
      <c r="E517" s="2" t="s">
        <v>74</v>
      </c>
      <c r="F517" s="2">
        <v>1</v>
      </c>
      <c r="G517" s="2">
        <v>1</v>
      </c>
      <c r="H517" s="14" t="str">
        <f>VLOOKUP(flu_group[[#This Row],[trust_code]],trust_lookup[],3,0)</f>
        <v>SWL&amp;StG</v>
      </c>
      <c r="I517" s="14" t="str">
        <f>VLOOKUP(flu_group[[#This Row],[trust_code]],trust_lookup[],4,0)</f>
        <v>Mental Health</v>
      </c>
      <c r="K517" s="2" t="s">
        <v>518</v>
      </c>
      <c r="L517" s="2" t="s">
        <v>170</v>
      </c>
      <c r="M517" s="2" t="s">
        <v>171</v>
      </c>
      <c r="N517" s="2" t="s">
        <v>194</v>
      </c>
      <c r="O517" s="2" t="s">
        <v>94</v>
      </c>
      <c r="P517" s="2">
        <v>22</v>
      </c>
      <c r="R517" s="43">
        <v>45670</v>
      </c>
      <c r="S517" s="2">
        <v>3</v>
      </c>
      <c r="T517" s="2" t="s">
        <v>519</v>
      </c>
      <c r="U517" s="2" t="s">
        <v>142</v>
      </c>
      <c r="V517" s="2" t="s">
        <v>143</v>
      </c>
      <c r="W517" s="2" t="s">
        <v>190</v>
      </c>
      <c r="X517" s="23">
        <v>17</v>
      </c>
      <c r="Y517" s="23">
        <v>1688</v>
      </c>
      <c r="Z517" s="23">
        <v>6076</v>
      </c>
      <c r="AA517" s="24">
        <v>0.27781435154707002</v>
      </c>
      <c r="AB517" s="14" t="str">
        <f>VLOOKUP(flu_aw24[[#This Row],[trust_code]],trust_lookup[],3,0)</f>
        <v>NELFT</v>
      </c>
      <c r="AD517" s="43">
        <v>45901</v>
      </c>
      <c r="AE517" s="2">
        <v>36</v>
      </c>
      <c r="AF517" s="2" t="s">
        <v>518</v>
      </c>
      <c r="AG517" s="2" t="s">
        <v>83</v>
      </c>
      <c r="AH517" s="2" t="s">
        <v>84</v>
      </c>
      <c r="AI517" s="2" t="s">
        <v>27</v>
      </c>
      <c r="AJ517" s="23">
        <v>1</v>
      </c>
      <c r="AK517" s="23">
        <v>1</v>
      </c>
      <c r="AL517" s="23">
        <v>3957</v>
      </c>
      <c r="AM517" s="24">
        <v>2.5271670457417201E-4</v>
      </c>
      <c r="AN517" s="44" t="str">
        <f>VLOOKUP(flu_aw25[[#This Row],[trust_code]],trust_lookup[],3,0)</f>
        <v>GOSH</v>
      </c>
    </row>
    <row r="518" spans="1:40" x14ac:dyDescent="0.35">
      <c r="A518" s="2" t="s">
        <v>519</v>
      </c>
      <c r="B518" s="2" t="s">
        <v>167</v>
      </c>
      <c r="C518" s="2" t="s">
        <v>168</v>
      </c>
      <c r="D518" s="2" t="s">
        <v>194</v>
      </c>
      <c r="E518" s="2" t="s">
        <v>42</v>
      </c>
      <c r="F518" s="2">
        <v>207</v>
      </c>
      <c r="G518" s="2">
        <v>89</v>
      </c>
      <c r="H518" s="14" t="str">
        <f>VLOOKUP(flu_group[[#This Row],[trust_code]],trust_lookup[],3,0)</f>
        <v>SWL&amp;StG</v>
      </c>
      <c r="I518" s="14" t="str">
        <f>VLOOKUP(flu_group[[#This Row],[trust_code]],trust_lookup[],4,0)</f>
        <v>Mental Health</v>
      </c>
      <c r="K518" s="2" t="s">
        <v>518</v>
      </c>
      <c r="L518" s="2" t="s">
        <v>170</v>
      </c>
      <c r="M518" s="2" t="s">
        <v>171</v>
      </c>
      <c r="N518" s="2" t="s">
        <v>194</v>
      </c>
      <c r="O518" s="2" t="s">
        <v>29</v>
      </c>
      <c r="P518" s="2">
        <v>66</v>
      </c>
      <c r="R518" s="43">
        <v>45677</v>
      </c>
      <c r="S518" s="2">
        <v>4</v>
      </c>
      <c r="T518" s="2" t="s">
        <v>519</v>
      </c>
      <c r="U518" s="2" t="s">
        <v>142</v>
      </c>
      <c r="V518" s="2" t="s">
        <v>143</v>
      </c>
      <c r="W518" s="2" t="s">
        <v>190</v>
      </c>
      <c r="X518" s="23">
        <v>18</v>
      </c>
      <c r="Y518" s="23">
        <v>1706</v>
      </c>
      <c r="Z518" s="23">
        <v>6076</v>
      </c>
      <c r="AA518" s="24">
        <v>0.28077682685977601</v>
      </c>
      <c r="AB518" s="14" t="str">
        <f>VLOOKUP(flu_aw24[[#This Row],[trust_code]],trust_lookup[],3,0)</f>
        <v>NELFT</v>
      </c>
      <c r="AD518" s="43">
        <v>45908</v>
      </c>
      <c r="AE518" s="2">
        <v>37</v>
      </c>
      <c r="AF518" s="2" t="s">
        <v>518</v>
      </c>
      <c r="AG518" s="2" t="s">
        <v>83</v>
      </c>
      <c r="AH518" s="2" t="s">
        <v>84</v>
      </c>
      <c r="AI518" s="2" t="s">
        <v>27</v>
      </c>
      <c r="AJ518" s="23">
        <v>1</v>
      </c>
      <c r="AK518" s="23">
        <v>2</v>
      </c>
      <c r="AL518" s="23">
        <v>3957</v>
      </c>
      <c r="AM518" s="24">
        <v>5.0543340914834401E-4</v>
      </c>
      <c r="AN518" s="44" t="str">
        <f>VLOOKUP(flu_aw25[[#This Row],[trust_code]],trust_lookup[],3,0)</f>
        <v>GOSH</v>
      </c>
    </row>
    <row r="519" spans="1:40" x14ac:dyDescent="0.35">
      <c r="A519" s="2" t="s">
        <v>519</v>
      </c>
      <c r="B519" s="2" t="s">
        <v>167</v>
      </c>
      <c r="C519" s="2" t="s">
        <v>168</v>
      </c>
      <c r="D519" s="2" t="s">
        <v>194</v>
      </c>
      <c r="E519" s="2" t="s">
        <v>53</v>
      </c>
      <c r="F519" s="2">
        <v>802</v>
      </c>
      <c r="G519" s="2">
        <v>216</v>
      </c>
      <c r="H519" s="14" t="str">
        <f>VLOOKUP(flu_group[[#This Row],[trust_code]],trust_lookup[],3,0)</f>
        <v>SWL&amp;StG</v>
      </c>
      <c r="I519" s="14" t="str">
        <f>VLOOKUP(flu_group[[#This Row],[trust_code]],trust_lookup[],4,0)</f>
        <v>Mental Health</v>
      </c>
      <c r="K519" s="2" t="s">
        <v>518</v>
      </c>
      <c r="L519" s="2" t="s">
        <v>170</v>
      </c>
      <c r="M519" s="2" t="s">
        <v>171</v>
      </c>
      <c r="N519" s="2" t="s">
        <v>194</v>
      </c>
      <c r="O519" s="2" t="s">
        <v>123</v>
      </c>
      <c r="P519" s="2">
        <v>206</v>
      </c>
      <c r="R519" s="43">
        <v>45684</v>
      </c>
      <c r="S519" s="2">
        <v>5</v>
      </c>
      <c r="T519" s="2" t="s">
        <v>519</v>
      </c>
      <c r="U519" s="2" t="s">
        <v>142</v>
      </c>
      <c r="V519" s="2" t="s">
        <v>143</v>
      </c>
      <c r="W519" s="2" t="s">
        <v>190</v>
      </c>
      <c r="X519" s="23">
        <v>9</v>
      </c>
      <c r="Y519" s="23">
        <v>1715</v>
      </c>
      <c r="Z519" s="23">
        <v>6076</v>
      </c>
      <c r="AA519" s="24">
        <v>0.282258064516129</v>
      </c>
      <c r="AB519" s="14" t="str">
        <f>VLOOKUP(flu_aw24[[#This Row],[trust_code]],trust_lookup[],3,0)</f>
        <v>NELFT</v>
      </c>
      <c r="AD519" s="43">
        <v>45929</v>
      </c>
      <c r="AE519" s="2">
        <v>40</v>
      </c>
      <c r="AF519" s="2" t="s">
        <v>518</v>
      </c>
      <c r="AG519" s="2" t="s">
        <v>83</v>
      </c>
      <c r="AH519" s="2" t="s">
        <v>84</v>
      </c>
      <c r="AI519" s="2" t="s">
        <v>27</v>
      </c>
      <c r="AJ519" s="23">
        <v>75</v>
      </c>
      <c r="AK519" s="23">
        <v>77</v>
      </c>
      <c r="AL519" s="23">
        <v>3957</v>
      </c>
      <c r="AM519" s="24">
        <v>1.94591862522112E-2</v>
      </c>
      <c r="AN519" s="44" t="str">
        <f>VLOOKUP(flu_aw25[[#This Row],[trust_code]],trust_lookup[],3,0)</f>
        <v>GOSH</v>
      </c>
    </row>
    <row r="520" spans="1:40" x14ac:dyDescent="0.35">
      <c r="A520" s="2" t="s">
        <v>519</v>
      </c>
      <c r="B520" s="2" t="s">
        <v>167</v>
      </c>
      <c r="C520" s="2" t="s">
        <v>168</v>
      </c>
      <c r="D520" s="2" t="s">
        <v>194</v>
      </c>
      <c r="E520" s="2" t="s">
        <v>35</v>
      </c>
      <c r="F520" s="2">
        <v>14</v>
      </c>
      <c r="G520" s="2">
        <v>2</v>
      </c>
      <c r="H520" s="14" t="str">
        <f>VLOOKUP(flu_group[[#This Row],[trust_code]],trust_lookup[],3,0)</f>
        <v>SWL&amp;StG</v>
      </c>
      <c r="I520" s="14" t="str">
        <f>VLOOKUP(flu_group[[#This Row],[trust_code]],trust_lookup[],4,0)</f>
        <v>Mental Health</v>
      </c>
      <c r="K520" s="2" t="s">
        <v>518</v>
      </c>
      <c r="L520" s="2" t="s">
        <v>170</v>
      </c>
      <c r="M520" s="2" t="s">
        <v>171</v>
      </c>
      <c r="N520" s="2" t="s">
        <v>194</v>
      </c>
      <c r="O520" s="2" t="s">
        <v>82</v>
      </c>
      <c r="P520" s="2">
        <v>41</v>
      </c>
      <c r="R520" s="43">
        <v>45691</v>
      </c>
      <c r="S520" s="2">
        <v>6</v>
      </c>
      <c r="T520" s="2" t="s">
        <v>519</v>
      </c>
      <c r="U520" s="2" t="s">
        <v>142</v>
      </c>
      <c r="V520" s="2" t="s">
        <v>143</v>
      </c>
      <c r="W520" s="2" t="s">
        <v>190</v>
      </c>
      <c r="X520" s="23">
        <v>14</v>
      </c>
      <c r="Y520" s="23">
        <v>1729</v>
      </c>
      <c r="Z520" s="23">
        <v>6076</v>
      </c>
      <c r="AA520" s="24">
        <v>0.284562211981566</v>
      </c>
      <c r="AB520" s="14" t="str">
        <f>VLOOKUP(flu_aw24[[#This Row],[trust_code]],trust_lookup[],3,0)</f>
        <v>NELFT</v>
      </c>
      <c r="AD520" s="43">
        <v>45936</v>
      </c>
      <c r="AE520" s="2">
        <v>41</v>
      </c>
      <c r="AF520" s="2" t="s">
        <v>518</v>
      </c>
      <c r="AG520" s="2" t="s">
        <v>83</v>
      </c>
      <c r="AH520" s="2" t="s">
        <v>84</v>
      </c>
      <c r="AI520" s="2" t="s">
        <v>27</v>
      </c>
      <c r="AJ520" s="23">
        <v>365</v>
      </c>
      <c r="AK520" s="23">
        <v>442</v>
      </c>
      <c r="AL520" s="23">
        <v>3957</v>
      </c>
      <c r="AM520" s="24">
        <v>0.11170078342178399</v>
      </c>
      <c r="AN520" s="44" t="str">
        <f>VLOOKUP(flu_aw25[[#This Row],[trust_code]],trust_lookup[],3,0)</f>
        <v>GOSH</v>
      </c>
    </row>
    <row r="521" spans="1:40" x14ac:dyDescent="0.35">
      <c r="A521" s="2" t="s">
        <v>519</v>
      </c>
      <c r="B521" s="2" t="s">
        <v>170</v>
      </c>
      <c r="C521" s="2" t="s">
        <v>171</v>
      </c>
      <c r="D521" s="2" t="s">
        <v>194</v>
      </c>
      <c r="E521" s="2" t="s">
        <v>67</v>
      </c>
      <c r="F521" s="2">
        <v>314</v>
      </c>
      <c r="G521" s="2">
        <v>114</v>
      </c>
      <c r="H521" s="14" t="str">
        <f>VLOOKUP(flu_group[[#This Row],[trust_code]],trust_lookup[],3,0)</f>
        <v>St George's</v>
      </c>
      <c r="I521" s="14" t="str">
        <f>VLOOKUP(flu_group[[#This Row],[trust_code]],trust_lookup[],4,0)</f>
        <v>Acute</v>
      </c>
      <c r="K521" s="2" t="s">
        <v>518</v>
      </c>
      <c r="L521" s="2" t="s">
        <v>170</v>
      </c>
      <c r="M521" s="2" t="s">
        <v>171</v>
      </c>
      <c r="N521" s="2" t="s">
        <v>194</v>
      </c>
      <c r="O521" s="2" t="s">
        <v>88</v>
      </c>
      <c r="P521" s="2">
        <v>17</v>
      </c>
      <c r="R521" s="43">
        <v>45698</v>
      </c>
      <c r="S521" s="2">
        <v>7</v>
      </c>
      <c r="T521" s="2" t="s">
        <v>519</v>
      </c>
      <c r="U521" s="2" t="s">
        <v>142</v>
      </c>
      <c r="V521" s="2" t="s">
        <v>143</v>
      </c>
      <c r="W521" s="2" t="s">
        <v>190</v>
      </c>
      <c r="X521" s="23">
        <v>10</v>
      </c>
      <c r="Y521" s="23">
        <v>1739</v>
      </c>
      <c r="Z521" s="23">
        <v>6076</v>
      </c>
      <c r="AA521" s="24">
        <v>0.28620803159973601</v>
      </c>
      <c r="AB521" s="14" t="str">
        <f>VLOOKUP(flu_aw24[[#This Row],[trust_code]],trust_lookup[],3,0)</f>
        <v>NELFT</v>
      </c>
      <c r="AD521" s="43">
        <v>45943</v>
      </c>
      <c r="AE521" s="2">
        <v>42</v>
      </c>
      <c r="AF521" s="2" t="s">
        <v>518</v>
      </c>
      <c r="AG521" s="2" t="s">
        <v>83</v>
      </c>
      <c r="AH521" s="2" t="s">
        <v>84</v>
      </c>
      <c r="AI521" s="2" t="s">
        <v>27</v>
      </c>
      <c r="AJ521" s="23">
        <v>395</v>
      </c>
      <c r="AK521" s="23">
        <v>837</v>
      </c>
      <c r="AL521" s="23">
        <v>3957</v>
      </c>
      <c r="AM521" s="24">
        <v>0.211523881728582</v>
      </c>
      <c r="AN521" s="44" t="str">
        <f>VLOOKUP(flu_aw25[[#This Row],[trust_code]],trust_lookup[],3,0)</f>
        <v>GOSH</v>
      </c>
    </row>
    <row r="522" spans="1:40" x14ac:dyDescent="0.35">
      <c r="A522" s="2" t="s">
        <v>519</v>
      </c>
      <c r="B522" s="2" t="s">
        <v>170</v>
      </c>
      <c r="C522" s="2" t="s">
        <v>171</v>
      </c>
      <c r="D522" s="2" t="s">
        <v>194</v>
      </c>
      <c r="E522" s="2" t="s">
        <v>81</v>
      </c>
      <c r="F522" s="2">
        <v>888</v>
      </c>
      <c r="G522" s="2">
        <v>226</v>
      </c>
      <c r="H522" s="14" t="str">
        <f>VLOOKUP(flu_group[[#This Row],[trust_code]],trust_lookup[],3,0)</f>
        <v>St George's</v>
      </c>
      <c r="I522" s="14" t="str">
        <f>VLOOKUP(flu_group[[#This Row],[trust_code]],trust_lookup[],4,0)</f>
        <v>Acute</v>
      </c>
      <c r="K522" s="2" t="s">
        <v>518</v>
      </c>
      <c r="L522" s="2" t="s">
        <v>170</v>
      </c>
      <c r="M522" s="2" t="s">
        <v>171</v>
      </c>
      <c r="N522" s="2" t="s">
        <v>194</v>
      </c>
      <c r="O522" s="2" t="s">
        <v>141</v>
      </c>
      <c r="P522" s="2">
        <v>353</v>
      </c>
      <c r="R522" s="43">
        <v>45705</v>
      </c>
      <c r="S522" s="2">
        <v>8</v>
      </c>
      <c r="T522" s="2" t="s">
        <v>519</v>
      </c>
      <c r="U522" s="2" t="s">
        <v>142</v>
      </c>
      <c r="V522" s="2" t="s">
        <v>143</v>
      </c>
      <c r="W522" s="2" t="s">
        <v>190</v>
      </c>
      <c r="X522" s="23">
        <v>2</v>
      </c>
      <c r="Y522" s="23">
        <v>1741</v>
      </c>
      <c r="Z522" s="23">
        <v>6076</v>
      </c>
      <c r="AA522" s="24">
        <v>0.28653719552336998</v>
      </c>
      <c r="AB522" s="14" t="str">
        <f>VLOOKUP(flu_aw24[[#This Row],[trust_code]],trust_lookup[],3,0)</f>
        <v>NELFT</v>
      </c>
      <c r="AD522" s="43">
        <v>45950</v>
      </c>
      <c r="AE522" s="2">
        <v>43</v>
      </c>
      <c r="AF522" s="2" t="s">
        <v>518</v>
      </c>
      <c r="AG522" s="2" t="s">
        <v>83</v>
      </c>
      <c r="AH522" s="2" t="s">
        <v>84</v>
      </c>
      <c r="AI522" s="2" t="s">
        <v>27</v>
      </c>
      <c r="AJ522" s="23">
        <v>257</v>
      </c>
      <c r="AK522" s="23">
        <v>1094</v>
      </c>
      <c r="AL522" s="23">
        <v>3957</v>
      </c>
      <c r="AM522" s="24">
        <v>0.27647207480414399</v>
      </c>
      <c r="AN522" s="44" t="str">
        <f>VLOOKUP(flu_aw25[[#This Row],[trust_code]],trust_lookup[],3,0)</f>
        <v>GOSH</v>
      </c>
    </row>
    <row r="523" spans="1:40" x14ac:dyDescent="0.35">
      <c r="A523" s="2" t="s">
        <v>519</v>
      </c>
      <c r="B523" s="2" t="s">
        <v>170</v>
      </c>
      <c r="C523" s="2" t="s">
        <v>171</v>
      </c>
      <c r="D523" s="2" t="s">
        <v>194</v>
      </c>
      <c r="E523" s="2" t="s">
        <v>46</v>
      </c>
      <c r="F523" s="2">
        <v>319</v>
      </c>
      <c r="G523" s="2">
        <v>97</v>
      </c>
      <c r="H523" s="14" t="str">
        <f>VLOOKUP(flu_group[[#This Row],[trust_code]],trust_lookup[],3,0)</f>
        <v>St George's</v>
      </c>
      <c r="I523" s="14" t="str">
        <f>VLOOKUP(flu_group[[#This Row],[trust_code]],trust_lookup[],4,0)</f>
        <v>Acute</v>
      </c>
      <c r="K523" s="2" t="s">
        <v>518</v>
      </c>
      <c r="L523" s="2" t="s">
        <v>170</v>
      </c>
      <c r="M523" s="2" t="s">
        <v>171</v>
      </c>
      <c r="N523" s="2" t="s">
        <v>194</v>
      </c>
      <c r="O523" s="2" t="s">
        <v>61</v>
      </c>
      <c r="P523" s="2">
        <v>38</v>
      </c>
      <c r="R523" s="43">
        <v>45712</v>
      </c>
      <c r="S523" s="2">
        <v>9</v>
      </c>
      <c r="T523" s="2" t="s">
        <v>519</v>
      </c>
      <c r="U523" s="2" t="s">
        <v>142</v>
      </c>
      <c r="V523" s="2" t="s">
        <v>143</v>
      </c>
      <c r="W523" s="2" t="s">
        <v>190</v>
      </c>
      <c r="X523" s="23">
        <v>8</v>
      </c>
      <c r="Y523" s="23">
        <v>1749</v>
      </c>
      <c r="Z523" s="23">
        <v>6076</v>
      </c>
      <c r="AA523" s="24">
        <v>0.28785385121790602</v>
      </c>
      <c r="AB523" s="14" t="str">
        <f>VLOOKUP(flu_aw24[[#This Row],[trust_code]],trust_lookup[],3,0)</f>
        <v>NELFT</v>
      </c>
      <c r="AD523" s="43">
        <v>45957</v>
      </c>
      <c r="AE523" s="2">
        <v>44</v>
      </c>
      <c r="AF523" s="2" t="s">
        <v>518</v>
      </c>
      <c r="AG523" s="2" t="s">
        <v>83</v>
      </c>
      <c r="AH523" s="2" t="s">
        <v>84</v>
      </c>
      <c r="AI523" s="2" t="s">
        <v>27</v>
      </c>
      <c r="AJ523" s="23">
        <v>249</v>
      </c>
      <c r="AK523" s="23">
        <v>1343</v>
      </c>
      <c r="AL523" s="23">
        <v>3957</v>
      </c>
      <c r="AM523" s="24">
        <v>0.339398534243113</v>
      </c>
      <c r="AN523" s="44" t="str">
        <f>VLOOKUP(flu_aw25[[#This Row],[trust_code]],trust_lookup[],3,0)</f>
        <v>GOSH</v>
      </c>
    </row>
    <row r="524" spans="1:40" x14ac:dyDescent="0.35">
      <c r="A524" s="2" t="s">
        <v>519</v>
      </c>
      <c r="B524" s="2" t="s">
        <v>170</v>
      </c>
      <c r="C524" s="2" t="s">
        <v>171</v>
      </c>
      <c r="D524" s="2" t="s">
        <v>194</v>
      </c>
      <c r="E524" s="2" t="s">
        <v>60</v>
      </c>
      <c r="F524" s="2">
        <v>607</v>
      </c>
      <c r="G524" s="2">
        <v>278</v>
      </c>
      <c r="H524" s="14" t="str">
        <f>VLOOKUP(flu_group[[#This Row],[trust_code]],trust_lookup[],3,0)</f>
        <v>St George's</v>
      </c>
      <c r="I524" s="14" t="str">
        <f>VLOOKUP(flu_group[[#This Row],[trust_code]],trust_lookup[],4,0)</f>
        <v>Acute</v>
      </c>
      <c r="K524" s="2" t="s">
        <v>518</v>
      </c>
      <c r="L524" s="2" t="s">
        <v>170</v>
      </c>
      <c r="M524" s="2" t="s">
        <v>171</v>
      </c>
      <c r="N524" s="2" t="s">
        <v>194</v>
      </c>
      <c r="O524" s="2" t="s">
        <v>100</v>
      </c>
      <c r="P524" s="2">
        <v>169</v>
      </c>
      <c r="R524" s="43">
        <v>45719</v>
      </c>
      <c r="S524" s="2">
        <v>10</v>
      </c>
      <c r="T524" s="2" t="s">
        <v>519</v>
      </c>
      <c r="U524" s="2" t="s">
        <v>142</v>
      </c>
      <c r="V524" s="2" t="s">
        <v>143</v>
      </c>
      <c r="W524" s="2" t="s">
        <v>190</v>
      </c>
      <c r="X524" s="23">
        <v>6</v>
      </c>
      <c r="Y524" s="23">
        <v>1755</v>
      </c>
      <c r="Z524" s="23">
        <v>6076</v>
      </c>
      <c r="AA524" s="24">
        <v>0.28884134298880798</v>
      </c>
      <c r="AB524" s="14" t="str">
        <f>VLOOKUP(flu_aw24[[#This Row],[trust_code]],trust_lookup[],3,0)</f>
        <v>NELFT</v>
      </c>
      <c r="AD524" s="43">
        <v>45964</v>
      </c>
      <c r="AE524" s="2">
        <v>45</v>
      </c>
      <c r="AF524" s="2" t="s">
        <v>518</v>
      </c>
      <c r="AG524" s="2" t="s">
        <v>83</v>
      </c>
      <c r="AH524" s="2" t="s">
        <v>84</v>
      </c>
      <c r="AI524" s="2" t="s">
        <v>27</v>
      </c>
      <c r="AJ524" s="23">
        <v>171</v>
      </c>
      <c r="AK524" s="23">
        <v>1514</v>
      </c>
      <c r="AL524" s="23">
        <v>3957</v>
      </c>
      <c r="AM524" s="24">
        <v>0.38261309072529598</v>
      </c>
      <c r="AN524" s="44" t="str">
        <f>VLOOKUP(flu_aw25[[#This Row],[trust_code]],trust_lookup[],3,0)</f>
        <v>GOSH</v>
      </c>
    </row>
    <row r="525" spans="1:40" x14ac:dyDescent="0.35">
      <c r="A525" s="2" t="s">
        <v>519</v>
      </c>
      <c r="B525" s="2" t="s">
        <v>170</v>
      </c>
      <c r="C525" s="2" t="s">
        <v>171</v>
      </c>
      <c r="D525" s="2" t="s">
        <v>194</v>
      </c>
      <c r="E525" s="2" t="s">
        <v>28</v>
      </c>
      <c r="F525" s="2">
        <v>233</v>
      </c>
      <c r="G525" s="2">
        <v>95</v>
      </c>
      <c r="H525" s="14" t="str">
        <f>VLOOKUP(flu_group[[#This Row],[trust_code]],trust_lookup[],3,0)</f>
        <v>St George's</v>
      </c>
      <c r="I525" s="14" t="str">
        <f>VLOOKUP(flu_group[[#This Row],[trust_code]],trust_lookup[],4,0)</f>
        <v>Acute</v>
      </c>
      <c r="K525" s="2" t="s">
        <v>518</v>
      </c>
      <c r="L525" s="2" t="s">
        <v>170</v>
      </c>
      <c r="M525" s="2" t="s">
        <v>171</v>
      </c>
      <c r="N525" s="2" t="s">
        <v>194</v>
      </c>
      <c r="O525" s="2" t="s">
        <v>75</v>
      </c>
      <c r="P525" s="2">
        <v>43</v>
      </c>
      <c r="R525" s="43">
        <v>45726</v>
      </c>
      <c r="S525" s="2">
        <v>11</v>
      </c>
      <c r="T525" s="2" t="s">
        <v>519</v>
      </c>
      <c r="U525" s="2" t="s">
        <v>142</v>
      </c>
      <c r="V525" s="2" t="s">
        <v>143</v>
      </c>
      <c r="W525" s="2" t="s">
        <v>190</v>
      </c>
      <c r="X525" s="23">
        <v>2</v>
      </c>
      <c r="Y525" s="23">
        <v>1757</v>
      </c>
      <c r="Z525" s="23">
        <v>6076</v>
      </c>
      <c r="AA525" s="24">
        <v>0.289170506912442</v>
      </c>
      <c r="AB525" s="14" t="str">
        <f>VLOOKUP(flu_aw24[[#This Row],[trust_code]],trust_lookup[],3,0)</f>
        <v>NELFT</v>
      </c>
      <c r="AD525" s="43">
        <v>45971</v>
      </c>
      <c r="AE525" s="2">
        <v>46</v>
      </c>
      <c r="AF525" s="2" t="s">
        <v>518</v>
      </c>
      <c r="AG525" s="2" t="s">
        <v>83</v>
      </c>
      <c r="AH525" s="2" t="s">
        <v>84</v>
      </c>
      <c r="AI525" s="2" t="s">
        <v>27</v>
      </c>
      <c r="AJ525" s="23">
        <v>202</v>
      </c>
      <c r="AK525" s="23">
        <v>1716</v>
      </c>
      <c r="AL525" s="23">
        <v>3957</v>
      </c>
      <c r="AM525" s="24">
        <v>0.43366186504927901</v>
      </c>
      <c r="AN525" s="44" t="str">
        <f>VLOOKUP(flu_aw25[[#This Row],[trust_code]],trust_lookup[],3,0)</f>
        <v>GOSH</v>
      </c>
    </row>
    <row r="526" spans="1:40" x14ac:dyDescent="0.35">
      <c r="A526" s="2" t="s">
        <v>519</v>
      </c>
      <c r="B526" s="2" t="s">
        <v>170</v>
      </c>
      <c r="C526" s="2" t="s">
        <v>171</v>
      </c>
      <c r="D526" s="2" t="s">
        <v>194</v>
      </c>
      <c r="E526" s="2" t="s">
        <v>74</v>
      </c>
      <c r="F526" s="2">
        <v>475</v>
      </c>
      <c r="G526" s="2">
        <v>179</v>
      </c>
      <c r="H526" s="14" t="str">
        <f>VLOOKUP(flu_group[[#This Row],[trust_code]],trust_lookup[],3,0)</f>
        <v>St George's</v>
      </c>
      <c r="I526" s="14" t="str">
        <f>VLOOKUP(flu_group[[#This Row],[trust_code]],trust_lookup[],4,0)</f>
        <v>Acute</v>
      </c>
      <c r="K526" s="2" t="s">
        <v>518</v>
      </c>
      <c r="L526" s="2" t="s">
        <v>170</v>
      </c>
      <c r="M526" s="2" t="s">
        <v>171</v>
      </c>
      <c r="N526" s="2" t="s">
        <v>194</v>
      </c>
      <c r="O526" s="2" t="s">
        <v>106</v>
      </c>
      <c r="P526" s="2">
        <v>50</v>
      </c>
      <c r="R526" s="43">
        <v>45733</v>
      </c>
      <c r="S526" s="2">
        <v>12</v>
      </c>
      <c r="T526" s="2" t="s">
        <v>519</v>
      </c>
      <c r="U526" s="2" t="s">
        <v>142</v>
      </c>
      <c r="V526" s="2" t="s">
        <v>143</v>
      </c>
      <c r="W526" s="2" t="s">
        <v>190</v>
      </c>
      <c r="X526" s="23">
        <v>3</v>
      </c>
      <c r="Y526" s="23">
        <v>1760</v>
      </c>
      <c r="Z526" s="23">
        <v>6076</v>
      </c>
      <c r="AA526" s="24">
        <v>0.28966425279789298</v>
      </c>
      <c r="AB526" s="14" t="str">
        <f>VLOOKUP(flu_aw24[[#This Row],[trust_code]],trust_lookup[],3,0)</f>
        <v>NELFT</v>
      </c>
      <c r="AD526" s="43">
        <v>45978</v>
      </c>
      <c r="AE526" s="2">
        <v>47</v>
      </c>
      <c r="AF526" s="2" t="s">
        <v>518</v>
      </c>
      <c r="AG526" s="2" t="s">
        <v>83</v>
      </c>
      <c r="AH526" s="2" t="s">
        <v>84</v>
      </c>
      <c r="AI526" s="2" t="s">
        <v>27</v>
      </c>
      <c r="AJ526" s="23">
        <v>158</v>
      </c>
      <c r="AK526" s="23">
        <v>1874</v>
      </c>
      <c r="AL526" s="23">
        <v>3957</v>
      </c>
      <c r="AM526" s="24">
        <v>0.47359110437199797</v>
      </c>
      <c r="AN526" s="44" t="str">
        <f>VLOOKUP(flu_aw25[[#This Row],[trust_code]],trust_lookup[],3,0)</f>
        <v>GOSH</v>
      </c>
    </row>
    <row r="527" spans="1:40" x14ac:dyDescent="0.35">
      <c r="A527" s="2" t="s">
        <v>519</v>
      </c>
      <c r="B527" s="2" t="s">
        <v>170</v>
      </c>
      <c r="C527" s="2" t="s">
        <v>171</v>
      </c>
      <c r="D527" s="2" t="s">
        <v>194</v>
      </c>
      <c r="E527" s="2" t="s">
        <v>42</v>
      </c>
      <c r="F527" s="2">
        <v>1459</v>
      </c>
      <c r="G527" s="2">
        <v>741</v>
      </c>
      <c r="H527" s="14" t="str">
        <f>VLOOKUP(flu_group[[#This Row],[trust_code]],trust_lookup[],3,0)</f>
        <v>St George's</v>
      </c>
      <c r="I527" s="14" t="str">
        <f>VLOOKUP(flu_group[[#This Row],[trust_code]],trust_lookup[],4,0)</f>
        <v>Acute</v>
      </c>
      <c r="K527" s="2" t="s">
        <v>518</v>
      </c>
      <c r="L527" s="2" t="s">
        <v>170</v>
      </c>
      <c r="M527" s="2" t="s">
        <v>171</v>
      </c>
      <c r="N527" s="2" t="s">
        <v>194</v>
      </c>
      <c r="O527" s="2" t="s">
        <v>112</v>
      </c>
      <c r="P527" s="2">
        <v>239</v>
      </c>
      <c r="R527" s="43">
        <v>45544</v>
      </c>
      <c r="S527" s="2">
        <v>37</v>
      </c>
      <c r="T527" s="2" t="s">
        <v>519</v>
      </c>
      <c r="U527" s="2" t="s">
        <v>147</v>
      </c>
      <c r="V527" s="2" t="s">
        <v>148</v>
      </c>
      <c r="W527" s="2" t="s">
        <v>27</v>
      </c>
      <c r="X527" s="23">
        <v>1</v>
      </c>
      <c r="Y527" s="23">
        <v>1</v>
      </c>
      <c r="Z527" s="23">
        <v>5165</v>
      </c>
      <c r="AA527" s="24">
        <v>1.9361084220716299E-4</v>
      </c>
      <c r="AB527" s="14" t="str">
        <f>VLOOKUP(flu_aw24[[#This Row],[trust_code]],trust_lookup[],3,0)</f>
        <v>North London</v>
      </c>
      <c r="AD527" s="43">
        <v>45985</v>
      </c>
      <c r="AE527" s="2">
        <v>48</v>
      </c>
      <c r="AF527" s="2" t="s">
        <v>518</v>
      </c>
      <c r="AG527" s="2" t="s">
        <v>83</v>
      </c>
      <c r="AH527" s="2" t="s">
        <v>84</v>
      </c>
      <c r="AI527" s="2" t="s">
        <v>27</v>
      </c>
      <c r="AJ527" s="23">
        <v>89</v>
      </c>
      <c r="AK527" s="23">
        <v>1963</v>
      </c>
      <c r="AL527" s="23">
        <v>3957</v>
      </c>
      <c r="AM527" s="24">
        <v>0.49608289107909997</v>
      </c>
      <c r="AN527" s="44" t="str">
        <f>VLOOKUP(flu_aw25[[#This Row],[trust_code]],trust_lookup[],3,0)</f>
        <v>GOSH</v>
      </c>
    </row>
    <row r="528" spans="1:40" x14ac:dyDescent="0.35">
      <c r="A528" s="2" t="s">
        <v>519</v>
      </c>
      <c r="B528" s="2" t="s">
        <v>170</v>
      </c>
      <c r="C528" s="2" t="s">
        <v>171</v>
      </c>
      <c r="D528" s="2" t="s">
        <v>194</v>
      </c>
      <c r="E528" s="2" t="s">
        <v>53</v>
      </c>
      <c r="F528" s="2">
        <v>2582</v>
      </c>
      <c r="G528" s="2">
        <v>1059</v>
      </c>
      <c r="H528" s="14" t="str">
        <f>VLOOKUP(flu_group[[#This Row],[trust_code]],trust_lookup[],3,0)</f>
        <v>St George's</v>
      </c>
      <c r="I528" s="14" t="str">
        <f>VLOOKUP(flu_group[[#This Row],[trust_code]],trust_lookup[],4,0)</f>
        <v>Acute</v>
      </c>
      <c r="K528" s="2" t="s">
        <v>518</v>
      </c>
      <c r="L528" s="2" t="s">
        <v>170</v>
      </c>
      <c r="M528" s="2" t="s">
        <v>171</v>
      </c>
      <c r="N528" s="2" t="s">
        <v>194</v>
      </c>
      <c r="O528" s="2" t="s">
        <v>36</v>
      </c>
      <c r="P528" s="2">
        <v>152</v>
      </c>
      <c r="R528" s="43">
        <v>45551</v>
      </c>
      <c r="S528" s="2">
        <v>38</v>
      </c>
      <c r="T528" s="2" t="s">
        <v>519</v>
      </c>
      <c r="U528" s="2" t="s">
        <v>147</v>
      </c>
      <c r="V528" s="2" t="s">
        <v>148</v>
      </c>
      <c r="W528" s="2" t="s">
        <v>27</v>
      </c>
      <c r="X528" s="23">
        <v>2</v>
      </c>
      <c r="Y528" s="23">
        <v>3</v>
      </c>
      <c r="Z528" s="23">
        <v>5165</v>
      </c>
      <c r="AA528" s="24">
        <v>5.8083252662149E-4</v>
      </c>
      <c r="AB528" s="14" t="str">
        <f>VLOOKUP(flu_aw24[[#This Row],[trust_code]],trust_lookup[],3,0)</f>
        <v>North London</v>
      </c>
      <c r="AD528" s="43">
        <v>45992</v>
      </c>
      <c r="AE528" s="2">
        <v>49</v>
      </c>
      <c r="AF528" s="2" t="s">
        <v>518</v>
      </c>
      <c r="AG528" s="2" t="s">
        <v>83</v>
      </c>
      <c r="AH528" s="2" t="s">
        <v>84</v>
      </c>
      <c r="AI528" s="2" t="s">
        <v>27</v>
      </c>
      <c r="AJ528" s="23">
        <v>52</v>
      </c>
      <c r="AK528" s="23">
        <v>2015</v>
      </c>
      <c r="AL528" s="23">
        <v>3957</v>
      </c>
      <c r="AM528" s="24">
        <v>0.509224159716957</v>
      </c>
      <c r="AN528" s="44" t="str">
        <f>VLOOKUP(flu_aw25[[#This Row],[trust_code]],trust_lookup[],3,0)</f>
        <v>GOSH</v>
      </c>
    </row>
    <row r="529" spans="1:40" x14ac:dyDescent="0.35">
      <c r="A529" s="2" t="s">
        <v>519</v>
      </c>
      <c r="B529" s="2" t="s">
        <v>179</v>
      </c>
      <c r="C529" s="2" t="s">
        <v>180</v>
      </c>
      <c r="D529" s="2" t="s">
        <v>194</v>
      </c>
      <c r="E529" s="2" t="s">
        <v>67</v>
      </c>
      <c r="F529" s="2">
        <v>199</v>
      </c>
      <c r="G529" s="2">
        <v>84</v>
      </c>
      <c r="H529" s="14" t="str">
        <f>VLOOKUP(flu_group[[#This Row],[trust_code]],trust_lookup[],3,0)</f>
        <v>Marsden</v>
      </c>
      <c r="I529" s="14" t="str">
        <f>VLOOKUP(flu_group[[#This Row],[trust_code]],trust_lookup[],4,0)</f>
        <v>Specialist</v>
      </c>
      <c r="K529" s="2" t="s">
        <v>518</v>
      </c>
      <c r="L529" s="2" t="s">
        <v>179</v>
      </c>
      <c r="M529" s="2" t="s">
        <v>180</v>
      </c>
      <c r="N529" s="2" t="s">
        <v>194</v>
      </c>
      <c r="O529" s="2" t="s">
        <v>68</v>
      </c>
      <c r="P529" s="2">
        <v>694</v>
      </c>
      <c r="R529" s="43">
        <v>45558</v>
      </c>
      <c r="S529" s="2">
        <v>39</v>
      </c>
      <c r="T529" s="2" t="s">
        <v>519</v>
      </c>
      <c r="U529" s="2" t="s">
        <v>147</v>
      </c>
      <c r="V529" s="2" t="s">
        <v>148</v>
      </c>
      <c r="W529" s="2" t="s">
        <v>27</v>
      </c>
      <c r="X529" s="23">
        <v>2</v>
      </c>
      <c r="Y529" s="23">
        <v>5</v>
      </c>
      <c r="Z529" s="23">
        <v>5165</v>
      </c>
      <c r="AA529" s="24">
        <v>9.6805421103581804E-4</v>
      </c>
      <c r="AB529" s="14" t="str">
        <f>VLOOKUP(flu_aw24[[#This Row],[trust_code]],trust_lookup[],3,0)</f>
        <v>North London</v>
      </c>
      <c r="AD529" s="43">
        <v>45999</v>
      </c>
      <c r="AE529" s="2">
        <v>50</v>
      </c>
      <c r="AF529" s="2" t="s">
        <v>518</v>
      </c>
      <c r="AG529" s="2" t="s">
        <v>83</v>
      </c>
      <c r="AH529" s="2" t="s">
        <v>84</v>
      </c>
      <c r="AI529" s="2" t="s">
        <v>27</v>
      </c>
      <c r="AJ529" s="23">
        <v>39</v>
      </c>
      <c r="AK529" s="23">
        <v>2054</v>
      </c>
      <c r="AL529" s="23">
        <v>3957</v>
      </c>
      <c r="AM529" s="24">
        <v>0.51908011119535002</v>
      </c>
      <c r="AN529" s="44" t="str">
        <f>VLOOKUP(flu_aw25[[#This Row],[trust_code]],trust_lookup[],3,0)</f>
        <v>GOSH</v>
      </c>
    </row>
    <row r="530" spans="1:40" x14ac:dyDescent="0.35">
      <c r="A530" s="2" t="s">
        <v>519</v>
      </c>
      <c r="B530" s="2" t="s">
        <v>179</v>
      </c>
      <c r="C530" s="2" t="s">
        <v>180</v>
      </c>
      <c r="D530" s="2" t="s">
        <v>194</v>
      </c>
      <c r="E530" s="2" t="s">
        <v>81</v>
      </c>
      <c r="F530" s="2">
        <v>585</v>
      </c>
      <c r="G530" s="2">
        <v>204</v>
      </c>
      <c r="H530" s="14" t="str">
        <f>VLOOKUP(flu_group[[#This Row],[trust_code]],trust_lookup[],3,0)</f>
        <v>Marsden</v>
      </c>
      <c r="I530" s="14" t="str">
        <f>VLOOKUP(flu_group[[#This Row],[trust_code]],trust_lookup[],4,0)</f>
        <v>Specialist</v>
      </c>
      <c r="K530" s="2" t="s">
        <v>518</v>
      </c>
      <c r="L530" s="2" t="s">
        <v>179</v>
      </c>
      <c r="M530" s="2" t="s">
        <v>180</v>
      </c>
      <c r="N530" s="2" t="s">
        <v>194</v>
      </c>
      <c r="O530" s="2" t="s">
        <v>135</v>
      </c>
      <c r="P530" s="2">
        <v>28</v>
      </c>
      <c r="R530" s="43">
        <v>45565</v>
      </c>
      <c r="S530" s="2">
        <v>40</v>
      </c>
      <c r="T530" s="2" t="s">
        <v>519</v>
      </c>
      <c r="U530" s="2" t="s">
        <v>147</v>
      </c>
      <c r="V530" s="2" t="s">
        <v>148</v>
      </c>
      <c r="W530" s="2" t="s">
        <v>27</v>
      </c>
      <c r="X530" s="23">
        <v>137</v>
      </c>
      <c r="Y530" s="23">
        <v>142</v>
      </c>
      <c r="Z530" s="23">
        <v>5165</v>
      </c>
      <c r="AA530" s="24">
        <v>2.7492739593417199E-2</v>
      </c>
      <c r="AB530" s="14" t="str">
        <f>VLOOKUP(flu_aw24[[#This Row],[trust_code]],trust_lookup[],3,0)</f>
        <v>North London</v>
      </c>
      <c r="AD530" s="43">
        <v>46006</v>
      </c>
      <c r="AE530" s="2">
        <v>51</v>
      </c>
      <c r="AF530" s="2" t="s">
        <v>518</v>
      </c>
      <c r="AG530" s="2" t="s">
        <v>83</v>
      </c>
      <c r="AH530" s="2" t="s">
        <v>84</v>
      </c>
      <c r="AI530" s="2" t="s">
        <v>27</v>
      </c>
      <c r="AJ530" s="23">
        <v>71</v>
      </c>
      <c r="AK530" s="23">
        <v>2125</v>
      </c>
      <c r="AL530" s="23">
        <v>3957</v>
      </c>
      <c r="AM530" s="24">
        <v>0.53702299722011604</v>
      </c>
      <c r="AN530" s="44" t="str">
        <f>VLOOKUP(flu_aw25[[#This Row],[trust_code]],trust_lookup[],3,0)</f>
        <v>GOSH</v>
      </c>
    </row>
    <row r="531" spans="1:40" x14ac:dyDescent="0.35">
      <c r="A531" s="2" t="s">
        <v>519</v>
      </c>
      <c r="B531" s="2" t="s">
        <v>179</v>
      </c>
      <c r="C531" s="2" t="s">
        <v>180</v>
      </c>
      <c r="D531" s="2" t="s">
        <v>194</v>
      </c>
      <c r="E531" s="2" t="s">
        <v>46</v>
      </c>
      <c r="F531" s="2">
        <v>51</v>
      </c>
      <c r="G531" s="2">
        <v>24</v>
      </c>
      <c r="H531" s="14" t="str">
        <f>VLOOKUP(flu_group[[#This Row],[trust_code]],trust_lookup[],3,0)</f>
        <v>Marsden</v>
      </c>
      <c r="I531" s="14" t="str">
        <f>VLOOKUP(flu_group[[#This Row],[trust_code]],trust_lookup[],4,0)</f>
        <v>Specialist</v>
      </c>
      <c r="K531" s="2" t="s">
        <v>518</v>
      </c>
      <c r="L531" s="2" t="s">
        <v>179</v>
      </c>
      <c r="M531" s="2" t="s">
        <v>180</v>
      </c>
      <c r="N531" s="2" t="s">
        <v>194</v>
      </c>
      <c r="O531" s="2" t="s">
        <v>54</v>
      </c>
      <c r="P531" s="2">
        <v>187</v>
      </c>
      <c r="R531" s="43">
        <v>45572</v>
      </c>
      <c r="S531" s="2">
        <v>41</v>
      </c>
      <c r="T531" s="2" t="s">
        <v>519</v>
      </c>
      <c r="U531" s="2" t="s">
        <v>147</v>
      </c>
      <c r="V531" s="2" t="s">
        <v>148</v>
      </c>
      <c r="W531" s="2" t="s">
        <v>27</v>
      </c>
      <c r="X531" s="23">
        <v>233</v>
      </c>
      <c r="Y531" s="23">
        <v>375</v>
      </c>
      <c r="Z531" s="23">
        <v>5165</v>
      </c>
      <c r="AA531" s="24">
        <v>7.2604065827686304E-2</v>
      </c>
      <c r="AB531" s="14" t="str">
        <f>VLOOKUP(flu_aw24[[#This Row],[trust_code]],trust_lookup[],3,0)</f>
        <v>North London</v>
      </c>
      <c r="AD531" s="43">
        <v>46013</v>
      </c>
      <c r="AE531" s="2">
        <v>52</v>
      </c>
      <c r="AF531" s="2" t="s">
        <v>518</v>
      </c>
      <c r="AG531" s="2" t="s">
        <v>83</v>
      </c>
      <c r="AH531" s="2" t="s">
        <v>84</v>
      </c>
      <c r="AI531" s="2" t="s">
        <v>27</v>
      </c>
      <c r="AJ531" s="23">
        <v>2</v>
      </c>
      <c r="AK531" s="23">
        <v>2127</v>
      </c>
      <c r="AL531" s="23">
        <v>3957</v>
      </c>
      <c r="AM531" s="24">
        <v>0.53752843062926403</v>
      </c>
      <c r="AN531" s="44" t="str">
        <f>VLOOKUP(flu_aw25[[#This Row],[trust_code]],trust_lookup[],3,0)</f>
        <v>GOSH</v>
      </c>
    </row>
    <row r="532" spans="1:40" x14ac:dyDescent="0.35">
      <c r="A532" s="2" t="s">
        <v>519</v>
      </c>
      <c r="B532" s="2" t="s">
        <v>179</v>
      </c>
      <c r="C532" s="2" t="s">
        <v>180</v>
      </c>
      <c r="D532" s="2" t="s">
        <v>194</v>
      </c>
      <c r="E532" s="2" t="s">
        <v>60</v>
      </c>
      <c r="F532" s="2">
        <v>324</v>
      </c>
      <c r="G532" s="2">
        <v>157</v>
      </c>
      <c r="H532" s="14" t="str">
        <f>VLOOKUP(flu_group[[#This Row],[trust_code]],trust_lookup[],3,0)</f>
        <v>Marsden</v>
      </c>
      <c r="I532" s="14" t="str">
        <f>VLOOKUP(flu_group[[#This Row],[trust_code]],trust_lookup[],4,0)</f>
        <v>Specialist</v>
      </c>
      <c r="K532" s="2" t="s">
        <v>518</v>
      </c>
      <c r="L532" s="2" t="s">
        <v>179</v>
      </c>
      <c r="M532" s="2" t="s">
        <v>180</v>
      </c>
      <c r="N532" s="2" t="s">
        <v>194</v>
      </c>
      <c r="O532" s="2" t="s">
        <v>129</v>
      </c>
      <c r="P532" s="2">
        <v>2</v>
      </c>
      <c r="R532" s="43">
        <v>45579</v>
      </c>
      <c r="S532" s="2">
        <v>42</v>
      </c>
      <c r="T532" s="2" t="s">
        <v>519</v>
      </c>
      <c r="U532" s="2" t="s">
        <v>147</v>
      </c>
      <c r="V532" s="2" t="s">
        <v>148</v>
      </c>
      <c r="W532" s="2" t="s">
        <v>27</v>
      </c>
      <c r="X532" s="23">
        <v>156</v>
      </c>
      <c r="Y532" s="23">
        <v>531</v>
      </c>
      <c r="Z532" s="23">
        <v>5165</v>
      </c>
      <c r="AA532" s="24">
        <v>0.102807357212003</v>
      </c>
      <c r="AB532" s="14" t="str">
        <f>VLOOKUP(flu_aw24[[#This Row],[trust_code]],trust_lookup[],3,0)</f>
        <v>North London</v>
      </c>
      <c r="AD532" s="43">
        <v>46020</v>
      </c>
      <c r="AE532" s="2">
        <v>1</v>
      </c>
      <c r="AF532" s="2" t="s">
        <v>518</v>
      </c>
      <c r="AG532" s="2" t="s">
        <v>83</v>
      </c>
      <c r="AH532" s="2" t="s">
        <v>84</v>
      </c>
      <c r="AI532" s="2" t="s">
        <v>27</v>
      </c>
      <c r="AJ532" s="23">
        <v>32</v>
      </c>
      <c r="AK532" s="23">
        <v>2159</v>
      </c>
      <c r="AL532" s="23">
        <v>3957</v>
      </c>
      <c r="AM532" s="24">
        <v>0.54561536517563802</v>
      </c>
      <c r="AN532" s="44" t="str">
        <f>VLOOKUP(flu_aw25[[#This Row],[trust_code]],trust_lookup[],3,0)</f>
        <v>GOSH</v>
      </c>
    </row>
    <row r="533" spans="1:40" x14ac:dyDescent="0.35">
      <c r="A533" s="2" t="s">
        <v>519</v>
      </c>
      <c r="B533" s="2" t="s">
        <v>179</v>
      </c>
      <c r="C533" s="2" t="s">
        <v>180</v>
      </c>
      <c r="D533" s="2" t="s">
        <v>194</v>
      </c>
      <c r="E533" s="2" t="s">
        <v>28</v>
      </c>
      <c r="F533" s="2">
        <v>205</v>
      </c>
      <c r="G533" s="2">
        <v>49</v>
      </c>
      <c r="H533" s="14" t="str">
        <f>VLOOKUP(flu_group[[#This Row],[trust_code]],trust_lookup[],3,0)</f>
        <v>Marsden</v>
      </c>
      <c r="I533" s="14" t="str">
        <f>VLOOKUP(flu_group[[#This Row],[trust_code]],trust_lookup[],4,0)</f>
        <v>Specialist</v>
      </c>
      <c r="K533" s="2" t="s">
        <v>518</v>
      </c>
      <c r="L533" s="2" t="s">
        <v>179</v>
      </c>
      <c r="M533" s="2" t="s">
        <v>180</v>
      </c>
      <c r="N533" s="2" t="s">
        <v>194</v>
      </c>
      <c r="O533" s="2" t="s">
        <v>47</v>
      </c>
      <c r="P533" s="2">
        <v>7</v>
      </c>
      <c r="R533" s="43">
        <v>45586</v>
      </c>
      <c r="S533" s="2">
        <v>43</v>
      </c>
      <c r="T533" s="2" t="s">
        <v>519</v>
      </c>
      <c r="U533" s="2" t="s">
        <v>147</v>
      </c>
      <c r="V533" s="2" t="s">
        <v>148</v>
      </c>
      <c r="W533" s="2" t="s">
        <v>27</v>
      </c>
      <c r="X533" s="23">
        <v>162</v>
      </c>
      <c r="Y533" s="23">
        <v>693</v>
      </c>
      <c r="Z533" s="23">
        <v>5165</v>
      </c>
      <c r="AA533" s="24">
        <v>0.134172313649564</v>
      </c>
      <c r="AB533" s="14" t="str">
        <f>VLOOKUP(flu_aw24[[#This Row],[trust_code]],trust_lookup[],3,0)</f>
        <v>North London</v>
      </c>
      <c r="AD533" s="43">
        <v>46027</v>
      </c>
      <c r="AE533" s="2">
        <v>2</v>
      </c>
      <c r="AF533" s="2" t="s">
        <v>518</v>
      </c>
      <c r="AG533" s="2" t="s">
        <v>83</v>
      </c>
      <c r="AH533" s="2" t="s">
        <v>84</v>
      </c>
      <c r="AI533" s="2" t="s">
        <v>27</v>
      </c>
      <c r="AJ533" s="23">
        <v>42</v>
      </c>
      <c r="AK533" s="23">
        <v>2201</v>
      </c>
      <c r="AL533" s="23">
        <v>3957</v>
      </c>
      <c r="AM533" s="24">
        <v>0.55622946676775298</v>
      </c>
      <c r="AN533" s="44" t="str">
        <f>VLOOKUP(flu_aw25[[#This Row],[trust_code]],trust_lookup[],3,0)</f>
        <v>GOSH</v>
      </c>
    </row>
    <row r="534" spans="1:40" x14ac:dyDescent="0.35">
      <c r="A534" s="2" t="s">
        <v>519</v>
      </c>
      <c r="B534" s="2" t="s">
        <v>179</v>
      </c>
      <c r="C534" s="2" t="s">
        <v>180</v>
      </c>
      <c r="D534" s="2" t="s">
        <v>194</v>
      </c>
      <c r="E534" s="2" t="s">
        <v>74</v>
      </c>
      <c r="F534" s="2">
        <v>319</v>
      </c>
      <c r="G534" s="2">
        <v>135</v>
      </c>
      <c r="H534" s="14" t="str">
        <f>VLOOKUP(flu_group[[#This Row],[trust_code]],trust_lookup[],3,0)</f>
        <v>Marsden</v>
      </c>
      <c r="I534" s="14" t="str">
        <f>VLOOKUP(flu_group[[#This Row],[trust_code]],trust_lookup[],4,0)</f>
        <v>Specialist</v>
      </c>
      <c r="K534" s="2" t="s">
        <v>518</v>
      </c>
      <c r="L534" s="2" t="s">
        <v>179</v>
      </c>
      <c r="M534" s="2" t="s">
        <v>180</v>
      </c>
      <c r="N534" s="2" t="s">
        <v>194</v>
      </c>
      <c r="O534" s="2" t="s">
        <v>94</v>
      </c>
      <c r="P534" s="2">
        <v>20</v>
      </c>
      <c r="R534" s="43">
        <v>45593</v>
      </c>
      <c r="S534" s="2">
        <v>44</v>
      </c>
      <c r="T534" s="2" t="s">
        <v>519</v>
      </c>
      <c r="U534" s="2" t="s">
        <v>147</v>
      </c>
      <c r="V534" s="2" t="s">
        <v>148</v>
      </c>
      <c r="W534" s="2" t="s">
        <v>27</v>
      </c>
      <c r="X534" s="23">
        <v>117</v>
      </c>
      <c r="Y534" s="23">
        <v>810</v>
      </c>
      <c r="Z534" s="23">
        <v>5165</v>
      </c>
      <c r="AA534" s="24">
        <v>0.15682478218780199</v>
      </c>
      <c r="AB534" s="14" t="str">
        <f>VLOOKUP(flu_aw24[[#This Row],[trust_code]],trust_lookup[],3,0)</f>
        <v>North London</v>
      </c>
      <c r="AD534" s="43">
        <v>46034</v>
      </c>
      <c r="AE534" s="2">
        <v>3</v>
      </c>
      <c r="AF534" s="2" t="s">
        <v>518</v>
      </c>
      <c r="AG534" s="2" t="s">
        <v>83</v>
      </c>
      <c r="AH534" s="2" t="s">
        <v>84</v>
      </c>
      <c r="AI534" s="2" t="s">
        <v>27</v>
      </c>
      <c r="AJ534" s="23">
        <v>29</v>
      </c>
      <c r="AK534" s="23">
        <v>2230</v>
      </c>
      <c r="AL534" s="23">
        <v>3957</v>
      </c>
      <c r="AM534" s="24">
        <v>0.56355825120040404</v>
      </c>
      <c r="AN534" s="44" t="str">
        <f>VLOOKUP(flu_aw25[[#This Row],[trust_code]],trust_lookup[],3,0)</f>
        <v>GOSH</v>
      </c>
    </row>
    <row r="535" spans="1:40" x14ac:dyDescent="0.35">
      <c r="A535" s="2" t="s">
        <v>519</v>
      </c>
      <c r="B535" s="2" t="s">
        <v>179</v>
      </c>
      <c r="C535" s="2" t="s">
        <v>180</v>
      </c>
      <c r="D535" s="2" t="s">
        <v>194</v>
      </c>
      <c r="E535" s="2" t="s">
        <v>42</v>
      </c>
      <c r="F535" s="2">
        <v>588</v>
      </c>
      <c r="G535" s="2">
        <v>251</v>
      </c>
      <c r="H535" s="14" t="str">
        <f>VLOOKUP(flu_group[[#This Row],[trust_code]],trust_lookup[],3,0)</f>
        <v>Marsden</v>
      </c>
      <c r="I535" s="14" t="str">
        <f>VLOOKUP(flu_group[[#This Row],[trust_code]],trust_lookup[],4,0)</f>
        <v>Specialist</v>
      </c>
      <c r="K535" s="2" t="s">
        <v>518</v>
      </c>
      <c r="L535" s="2" t="s">
        <v>179</v>
      </c>
      <c r="M535" s="2" t="s">
        <v>180</v>
      </c>
      <c r="N535" s="2" t="s">
        <v>194</v>
      </c>
      <c r="O535" s="2" t="s">
        <v>29</v>
      </c>
      <c r="P535" s="2">
        <v>25</v>
      </c>
      <c r="R535" s="43">
        <v>45600</v>
      </c>
      <c r="S535" s="2">
        <v>45</v>
      </c>
      <c r="T535" s="2" t="s">
        <v>519</v>
      </c>
      <c r="U535" s="2" t="s">
        <v>147</v>
      </c>
      <c r="V535" s="2" t="s">
        <v>148</v>
      </c>
      <c r="W535" s="2" t="s">
        <v>27</v>
      </c>
      <c r="X535" s="23">
        <v>84</v>
      </c>
      <c r="Y535" s="23">
        <v>894</v>
      </c>
      <c r="Z535" s="23">
        <v>5165</v>
      </c>
      <c r="AA535" s="24">
        <v>0.17308809293320401</v>
      </c>
      <c r="AB535" s="14" t="str">
        <f>VLOOKUP(flu_aw24[[#This Row],[trust_code]],trust_lookup[],3,0)</f>
        <v>North London</v>
      </c>
      <c r="AD535" s="43">
        <v>46041</v>
      </c>
      <c r="AE535" s="2">
        <v>4</v>
      </c>
      <c r="AF535" s="2" t="s">
        <v>518</v>
      </c>
      <c r="AG535" s="2" t="s">
        <v>83</v>
      </c>
      <c r="AH535" s="2" t="s">
        <v>84</v>
      </c>
      <c r="AI535" s="2" t="s">
        <v>27</v>
      </c>
      <c r="AJ535" s="23">
        <v>10</v>
      </c>
      <c r="AK535" s="23">
        <v>2240</v>
      </c>
      <c r="AL535" s="23">
        <v>3957</v>
      </c>
      <c r="AM535" s="24">
        <v>0.566085418246146</v>
      </c>
      <c r="AN535" s="44" t="str">
        <f>VLOOKUP(flu_aw25[[#This Row],[trust_code]],trust_lookup[],3,0)</f>
        <v>GOSH</v>
      </c>
    </row>
    <row r="536" spans="1:40" x14ac:dyDescent="0.35">
      <c r="A536" s="2" t="s">
        <v>519</v>
      </c>
      <c r="B536" s="2" t="s">
        <v>179</v>
      </c>
      <c r="C536" s="2" t="s">
        <v>180</v>
      </c>
      <c r="D536" s="2" t="s">
        <v>194</v>
      </c>
      <c r="E536" s="2" t="s">
        <v>53</v>
      </c>
      <c r="F536" s="2">
        <v>1122</v>
      </c>
      <c r="G536" s="2">
        <v>507</v>
      </c>
      <c r="H536" s="14" t="str">
        <f>VLOOKUP(flu_group[[#This Row],[trust_code]],trust_lookup[],3,0)</f>
        <v>Marsden</v>
      </c>
      <c r="I536" s="14" t="str">
        <f>VLOOKUP(flu_group[[#This Row],[trust_code]],trust_lookup[],4,0)</f>
        <v>Specialist</v>
      </c>
      <c r="K536" s="2" t="s">
        <v>518</v>
      </c>
      <c r="L536" s="2" t="s">
        <v>179</v>
      </c>
      <c r="M536" s="2" t="s">
        <v>180</v>
      </c>
      <c r="N536" s="2" t="s">
        <v>194</v>
      </c>
      <c r="O536" s="2" t="s">
        <v>123</v>
      </c>
      <c r="P536" s="2">
        <v>90</v>
      </c>
      <c r="R536" s="43">
        <v>45607</v>
      </c>
      <c r="S536" s="2">
        <v>46</v>
      </c>
      <c r="T536" s="2" t="s">
        <v>519</v>
      </c>
      <c r="U536" s="2" t="s">
        <v>147</v>
      </c>
      <c r="V536" s="2" t="s">
        <v>148</v>
      </c>
      <c r="W536" s="2" t="s">
        <v>27</v>
      </c>
      <c r="X536" s="23">
        <v>73</v>
      </c>
      <c r="Y536" s="23">
        <v>967</v>
      </c>
      <c r="Z536" s="23">
        <v>5165</v>
      </c>
      <c r="AA536" s="24">
        <v>0.18722168441432699</v>
      </c>
      <c r="AB536" s="14" t="str">
        <f>VLOOKUP(flu_aw24[[#This Row],[trust_code]],trust_lookup[],3,0)</f>
        <v>North London</v>
      </c>
      <c r="AD536" s="43">
        <v>46048</v>
      </c>
      <c r="AE536" s="2">
        <v>5</v>
      </c>
      <c r="AF536" s="2" t="s">
        <v>518</v>
      </c>
      <c r="AG536" s="2" t="s">
        <v>83</v>
      </c>
      <c r="AH536" s="2" t="s">
        <v>84</v>
      </c>
      <c r="AI536" s="2" t="s">
        <v>27</v>
      </c>
      <c r="AJ536" s="23">
        <v>9</v>
      </c>
      <c r="AK536" s="23">
        <v>2249</v>
      </c>
      <c r="AL536" s="23">
        <v>3957</v>
      </c>
      <c r="AM536" s="24">
        <v>0.56835986858731302</v>
      </c>
      <c r="AN536" s="44" t="str">
        <f>VLOOKUP(flu_aw25[[#This Row],[trust_code]],trust_lookup[],3,0)</f>
        <v>GOSH</v>
      </c>
    </row>
    <row r="537" spans="1:40" x14ac:dyDescent="0.35">
      <c r="A537" s="2" t="s">
        <v>519</v>
      </c>
      <c r="B537" s="2" t="s">
        <v>179</v>
      </c>
      <c r="C537" s="2" t="s">
        <v>180</v>
      </c>
      <c r="D537" s="2" t="s">
        <v>194</v>
      </c>
      <c r="E537" s="2" t="s">
        <v>35</v>
      </c>
      <c r="F537" s="2">
        <v>1</v>
      </c>
      <c r="G537" s="2">
        <v>1</v>
      </c>
      <c r="H537" s="14" t="str">
        <f>VLOOKUP(flu_group[[#This Row],[trust_code]],trust_lookup[],3,0)</f>
        <v>Marsden</v>
      </c>
      <c r="I537" s="2" t="str">
        <f>VLOOKUP(flu_group[[#This Row],[trust_code]],trust_lookup[],4,0)</f>
        <v>Specialist</v>
      </c>
      <c r="K537" s="2" t="s">
        <v>518</v>
      </c>
      <c r="L537" s="2" t="s">
        <v>179</v>
      </c>
      <c r="M537" s="2" t="s">
        <v>180</v>
      </c>
      <c r="N537" s="2" t="s">
        <v>194</v>
      </c>
      <c r="O537" s="2" t="s">
        <v>82</v>
      </c>
      <c r="P537" s="2">
        <v>18</v>
      </c>
      <c r="R537" s="43">
        <v>45614</v>
      </c>
      <c r="S537" s="2">
        <v>47</v>
      </c>
      <c r="T537" s="2" t="s">
        <v>519</v>
      </c>
      <c r="U537" s="2" t="s">
        <v>147</v>
      </c>
      <c r="V537" s="2" t="s">
        <v>148</v>
      </c>
      <c r="W537" s="2" t="s">
        <v>27</v>
      </c>
      <c r="X537" s="23">
        <v>43</v>
      </c>
      <c r="Y537" s="23">
        <v>1010</v>
      </c>
      <c r="Z537" s="23">
        <v>5165</v>
      </c>
      <c r="AA537" s="24">
        <v>0.19554695062923499</v>
      </c>
      <c r="AB537" s="14" t="str">
        <f>VLOOKUP(flu_aw24[[#This Row],[trust_code]],trust_lookup[],3,0)</f>
        <v>North London</v>
      </c>
      <c r="AD537" s="43">
        <v>46076</v>
      </c>
      <c r="AE537" s="2">
        <v>9</v>
      </c>
      <c r="AF537" s="2" t="s">
        <v>518</v>
      </c>
      <c r="AG537" s="2" t="s">
        <v>83</v>
      </c>
      <c r="AH537" s="2" t="s">
        <v>84</v>
      </c>
      <c r="AI537" s="2" t="s">
        <v>27</v>
      </c>
      <c r="AJ537" s="23">
        <v>3</v>
      </c>
      <c r="AK537" s="23">
        <v>2252</v>
      </c>
      <c r="AL537" s="23">
        <v>3957</v>
      </c>
      <c r="AM537" s="24">
        <v>0.56911801870103595</v>
      </c>
      <c r="AN537" s="44" t="str">
        <f>VLOOKUP(flu_aw25[[#This Row],[trust_code]],trust_lookup[],3,0)</f>
        <v>GOSH</v>
      </c>
    </row>
    <row r="538" spans="1:40" x14ac:dyDescent="0.35">
      <c r="K538" s="2" t="s">
        <v>518</v>
      </c>
      <c r="L538" s="2" t="s">
        <v>179</v>
      </c>
      <c r="M538" s="2" t="s">
        <v>180</v>
      </c>
      <c r="N538" s="2" t="s">
        <v>194</v>
      </c>
      <c r="O538" s="2" t="s">
        <v>88</v>
      </c>
      <c r="P538" s="2">
        <v>16</v>
      </c>
      <c r="R538" s="43">
        <v>45621</v>
      </c>
      <c r="S538" s="2">
        <v>48</v>
      </c>
      <c r="T538" s="2" t="s">
        <v>519</v>
      </c>
      <c r="U538" s="2" t="s">
        <v>147</v>
      </c>
      <c r="V538" s="2" t="s">
        <v>148</v>
      </c>
      <c r="W538" s="2" t="s">
        <v>27</v>
      </c>
      <c r="X538" s="23">
        <v>43</v>
      </c>
      <c r="Y538" s="23">
        <v>1053</v>
      </c>
      <c r="Z538" s="23">
        <v>5165</v>
      </c>
      <c r="AA538" s="24">
        <v>0.203872216844143</v>
      </c>
      <c r="AB538" s="14" t="str">
        <f>VLOOKUP(flu_aw24[[#This Row],[trust_code]],trust_lookup[],3,0)</f>
        <v>North London</v>
      </c>
      <c r="AD538" s="43">
        <v>45929</v>
      </c>
      <c r="AE538" s="2">
        <v>40</v>
      </c>
      <c r="AF538" s="2" t="s">
        <v>518</v>
      </c>
      <c r="AG538" s="2" t="s">
        <v>62</v>
      </c>
      <c r="AH538" s="2" t="s">
        <v>63</v>
      </c>
      <c r="AI538" s="2" t="s">
        <v>194</v>
      </c>
      <c r="AJ538" s="23">
        <v>99</v>
      </c>
      <c r="AK538" s="23">
        <v>99</v>
      </c>
      <c r="AL538" s="23">
        <v>3343</v>
      </c>
      <c r="AM538" s="24">
        <v>2.9614119054741199E-2</v>
      </c>
      <c r="AN538" s="44" t="str">
        <f>VLOOKUP(flu_aw25[[#This Row],[trust_code]],trust_lookup[],3,0)</f>
        <v>Croydon</v>
      </c>
    </row>
    <row r="539" spans="1:40" x14ac:dyDescent="0.35">
      <c r="K539" s="2" t="s">
        <v>518</v>
      </c>
      <c r="L539" s="2" t="s">
        <v>179</v>
      </c>
      <c r="M539" s="2" t="s">
        <v>180</v>
      </c>
      <c r="N539" s="2" t="s">
        <v>194</v>
      </c>
      <c r="O539" s="2" t="s">
        <v>141</v>
      </c>
      <c r="P539" s="2">
        <v>168</v>
      </c>
      <c r="R539" s="43">
        <v>45628</v>
      </c>
      <c r="S539" s="2">
        <v>49</v>
      </c>
      <c r="T539" s="2" t="s">
        <v>519</v>
      </c>
      <c r="U539" s="2" t="s">
        <v>147</v>
      </c>
      <c r="V539" s="2" t="s">
        <v>148</v>
      </c>
      <c r="W539" s="2" t="s">
        <v>27</v>
      </c>
      <c r="X539" s="23">
        <v>37</v>
      </c>
      <c r="Y539" s="23">
        <v>1090</v>
      </c>
      <c r="Z539" s="23">
        <v>5165</v>
      </c>
      <c r="AA539" s="24">
        <v>0.21103581800580801</v>
      </c>
      <c r="AB539" s="14" t="str">
        <f>VLOOKUP(flu_aw24[[#This Row],[trust_code]],trust_lookup[],3,0)</f>
        <v>North London</v>
      </c>
      <c r="AD539" s="43">
        <v>45936</v>
      </c>
      <c r="AE539" s="2">
        <v>41</v>
      </c>
      <c r="AF539" s="2" t="s">
        <v>518</v>
      </c>
      <c r="AG539" s="2" t="s">
        <v>62</v>
      </c>
      <c r="AH539" s="2" t="s">
        <v>63</v>
      </c>
      <c r="AI539" s="2" t="s">
        <v>194</v>
      </c>
      <c r="AJ539" s="23">
        <v>105</v>
      </c>
      <c r="AK539" s="23">
        <v>204</v>
      </c>
      <c r="AL539" s="23">
        <v>3343</v>
      </c>
      <c r="AM539" s="24">
        <v>6.10230332037092E-2</v>
      </c>
      <c r="AN539" s="44" t="str">
        <f>VLOOKUP(flu_aw25[[#This Row],[trust_code]],trust_lookup[],3,0)</f>
        <v>Croydon</v>
      </c>
    </row>
    <row r="540" spans="1:40" x14ac:dyDescent="0.35">
      <c r="K540" s="2" t="s">
        <v>518</v>
      </c>
      <c r="L540" s="2" t="s">
        <v>179</v>
      </c>
      <c r="M540" s="2" t="s">
        <v>180</v>
      </c>
      <c r="N540" s="2" t="s">
        <v>194</v>
      </c>
      <c r="O540" s="2" t="s">
        <v>61</v>
      </c>
      <c r="P540" s="2">
        <v>11</v>
      </c>
      <c r="R540" s="43">
        <v>45635</v>
      </c>
      <c r="S540" s="2">
        <v>50</v>
      </c>
      <c r="T540" s="2" t="s">
        <v>519</v>
      </c>
      <c r="U540" s="2" t="s">
        <v>147</v>
      </c>
      <c r="V540" s="2" t="s">
        <v>148</v>
      </c>
      <c r="W540" s="2" t="s">
        <v>27</v>
      </c>
      <c r="X540" s="23">
        <v>45</v>
      </c>
      <c r="Y540" s="23">
        <v>1135</v>
      </c>
      <c r="Z540" s="23">
        <v>5165</v>
      </c>
      <c r="AA540" s="24">
        <v>0.21974830590513</v>
      </c>
      <c r="AB540" s="14" t="str">
        <f>VLOOKUP(flu_aw24[[#This Row],[trust_code]],trust_lookup[],3,0)</f>
        <v>North London</v>
      </c>
      <c r="AD540" s="43">
        <v>45943</v>
      </c>
      <c r="AE540" s="2">
        <v>42</v>
      </c>
      <c r="AF540" s="2" t="s">
        <v>518</v>
      </c>
      <c r="AG540" s="2" t="s">
        <v>62</v>
      </c>
      <c r="AH540" s="2" t="s">
        <v>63</v>
      </c>
      <c r="AI540" s="2" t="s">
        <v>194</v>
      </c>
      <c r="AJ540" s="23">
        <v>115</v>
      </c>
      <c r="AK540" s="23">
        <v>319</v>
      </c>
      <c r="AL540" s="23">
        <v>3343</v>
      </c>
      <c r="AM540" s="24">
        <v>9.5423272509721796E-2</v>
      </c>
      <c r="AN540" s="44" t="str">
        <f>VLOOKUP(flu_aw25[[#This Row],[trust_code]],trust_lookup[],3,0)</f>
        <v>Croydon</v>
      </c>
    </row>
    <row r="541" spans="1:40" x14ac:dyDescent="0.35">
      <c r="K541" s="2" t="s">
        <v>518</v>
      </c>
      <c r="L541" s="2" t="s">
        <v>179</v>
      </c>
      <c r="M541" s="2" t="s">
        <v>180</v>
      </c>
      <c r="N541" s="2" t="s">
        <v>194</v>
      </c>
      <c r="O541" s="2" t="s">
        <v>100</v>
      </c>
      <c r="P541" s="2">
        <v>66</v>
      </c>
      <c r="R541" s="43">
        <v>45642</v>
      </c>
      <c r="S541" s="2">
        <v>51</v>
      </c>
      <c r="T541" s="2" t="s">
        <v>519</v>
      </c>
      <c r="U541" s="2" t="s">
        <v>147</v>
      </c>
      <c r="V541" s="2" t="s">
        <v>148</v>
      </c>
      <c r="W541" s="2" t="s">
        <v>27</v>
      </c>
      <c r="X541" s="23">
        <v>39</v>
      </c>
      <c r="Y541" s="23">
        <v>1174</v>
      </c>
      <c r="Z541" s="23">
        <v>5165</v>
      </c>
      <c r="AA541" s="24">
        <v>0.22729912875121</v>
      </c>
      <c r="AB541" s="14" t="str">
        <f>VLOOKUP(flu_aw24[[#This Row],[trust_code]],trust_lookup[],3,0)</f>
        <v>North London</v>
      </c>
      <c r="AD541" s="43">
        <v>45950</v>
      </c>
      <c r="AE541" s="2">
        <v>43</v>
      </c>
      <c r="AF541" s="2" t="s">
        <v>518</v>
      </c>
      <c r="AG541" s="2" t="s">
        <v>62</v>
      </c>
      <c r="AH541" s="2" t="s">
        <v>63</v>
      </c>
      <c r="AI541" s="2" t="s">
        <v>194</v>
      </c>
      <c r="AJ541" s="23">
        <v>92</v>
      </c>
      <c r="AK541" s="23">
        <v>411</v>
      </c>
      <c r="AL541" s="23">
        <v>3343</v>
      </c>
      <c r="AM541" s="24">
        <v>0.122943463954531</v>
      </c>
      <c r="AN541" s="44" t="str">
        <f>VLOOKUP(flu_aw25[[#This Row],[trust_code]],trust_lookup[],3,0)</f>
        <v>Croydon</v>
      </c>
    </row>
    <row r="542" spans="1:40" x14ac:dyDescent="0.35">
      <c r="K542" s="2" t="s">
        <v>518</v>
      </c>
      <c r="L542" s="2" t="s">
        <v>179</v>
      </c>
      <c r="M542" s="2" t="s">
        <v>180</v>
      </c>
      <c r="N542" s="2" t="s">
        <v>194</v>
      </c>
      <c r="O542" s="2" t="s">
        <v>75</v>
      </c>
      <c r="P542" s="2">
        <v>19</v>
      </c>
      <c r="R542" s="43">
        <v>45649</v>
      </c>
      <c r="S542" s="2">
        <v>52</v>
      </c>
      <c r="T542" s="2" t="s">
        <v>519</v>
      </c>
      <c r="U542" s="2" t="s">
        <v>147</v>
      </c>
      <c r="V542" s="2" t="s">
        <v>148</v>
      </c>
      <c r="W542" s="2" t="s">
        <v>27</v>
      </c>
      <c r="X542" s="23">
        <v>4</v>
      </c>
      <c r="Y542" s="23">
        <v>1178</v>
      </c>
      <c r="Z542" s="23">
        <v>5165</v>
      </c>
      <c r="AA542" s="24">
        <v>0.22807357212003801</v>
      </c>
      <c r="AB542" s="14" t="str">
        <f>VLOOKUP(flu_aw24[[#This Row],[trust_code]],trust_lookup[],3,0)</f>
        <v>North London</v>
      </c>
      <c r="AD542" s="43">
        <v>45957</v>
      </c>
      <c r="AE542" s="2">
        <v>44</v>
      </c>
      <c r="AF542" s="2" t="s">
        <v>518</v>
      </c>
      <c r="AG542" s="2" t="s">
        <v>62</v>
      </c>
      <c r="AH542" s="2" t="s">
        <v>63</v>
      </c>
      <c r="AI542" s="2" t="s">
        <v>194</v>
      </c>
      <c r="AJ542" s="23">
        <v>84</v>
      </c>
      <c r="AK542" s="23">
        <v>495</v>
      </c>
      <c r="AL542" s="23">
        <v>3343</v>
      </c>
      <c r="AM542" s="24">
        <v>0.148070595273706</v>
      </c>
      <c r="AN542" s="44" t="str">
        <f>VLOOKUP(flu_aw25[[#This Row],[trust_code]],trust_lookup[],3,0)</f>
        <v>Croydon</v>
      </c>
    </row>
    <row r="543" spans="1:40" x14ac:dyDescent="0.35">
      <c r="K543" s="2" t="s">
        <v>518</v>
      </c>
      <c r="L543" s="2" t="s">
        <v>179</v>
      </c>
      <c r="M543" s="2" t="s">
        <v>180</v>
      </c>
      <c r="N543" s="2" t="s">
        <v>194</v>
      </c>
      <c r="O543" s="2" t="s">
        <v>106</v>
      </c>
      <c r="P543" s="2">
        <v>34</v>
      </c>
      <c r="R543" s="43">
        <v>45656</v>
      </c>
      <c r="S543" s="2">
        <v>1</v>
      </c>
      <c r="T543" s="2" t="s">
        <v>519</v>
      </c>
      <c r="U543" s="2" t="s">
        <v>147</v>
      </c>
      <c r="V543" s="2" t="s">
        <v>148</v>
      </c>
      <c r="W543" s="2" t="s">
        <v>27</v>
      </c>
      <c r="X543" s="23">
        <v>6</v>
      </c>
      <c r="Y543" s="23">
        <v>1184</v>
      </c>
      <c r="Z543" s="23">
        <v>5165</v>
      </c>
      <c r="AA543" s="24">
        <v>0.22923523717328101</v>
      </c>
      <c r="AB543" s="14" t="str">
        <f>VLOOKUP(flu_aw24[[#This Row],[trust_code]],trust_lookup[],3,0)</f>
        <v>North London</v>
      </c>
      <c r="AD543" s="43">
        <v>45964</v>
      </c>
      <c r="AE543" s="2">
        <v>45</v>
      </c>
      <c r="AF543" s="2" t="s">
        <v>518</v>
      </c>
      <c r="AG543" s="2" t="s">
        <v>62</v>
      </c>
      <c r="AH543" s="2" t="s">
        <v>63</v>
      </c>
      <c r="AI543" s="2" t="s">
        <v>194</v>
      </c>
      <c r="AJ543" s="23">
        <v>157</v>
      </c>
      <c r="AK543" s="23">
        <v>652</v>
      </c>
      <c r="AL543" s="23">
        <v>3343</v>
      </c>
      <c r="AM543" s="24">
        <v>0.19503440023930599</v>
      </c>
      <c r="AN543" s="44" t="str">
        <f>VLOOKUP(flu_aw25[[#This Row],[trust_code]],trust_lookup[],3,0)</f>
        <v>Croydon</v>
      </c>
    </row>
    <row r="544" spans="1:40" x14ac:dyDescent="0.35">
      <c r="K544" s="2" t="s">
        <v>518</v>
      </c>
      <c r="L544" s="2" t="s">
        <v>179</v>
      </c>
      <c r="M544" s="2" t="s">
        <v>180</v>
      </c>
      <c r="N544" s="2" t="s">
        <v>194</v>
      </c>
      <c r="O544" s="2" t="s">
        <v>112</v>
      </c>
      <c r="P544" s="2">
        <v>104</v>
      </c>
      <c r="R544" s="43">
        <v>45663</v>
      </c>
      <c r="S544" s="2">
        <v>2</v>
      </c>
      <c r="T544" s="2" t="s">
        <v>519</v>
      </c>
      <c r="U544" s="2" t="s">
        <v>147</v>
      </c>
      <c r="V544" s="2" t="s">
        <v>148</v>
      </c>
      <c r="W544" s="2" t="s">
        <v>27</v>
      </c>
      <c r="X544" s="23">
        <v>20</v>
      </c>
      <c r="Y544" s="23">
        <v>1204</v>
      </c>
      <c r="Z544" s="23">
        <v>5165</v>
      </c>
      <c r="AA544" s="24">
        <v>0.233107454017424</v>
      </c>
      <c r="AB544" s="14" t="str">
        <f>VLOOKUP(flu_aw24[[#This Row],[trust_code]],trust_lookup[],3,0)</f>
        <v>North London</v>
      </c>
      <c r="AD544" s="43">
        <v>45971</v>
      </c>
      <c r="AE544" s="2">
        <v>46</v>
      </c>
      <c r="AF544" s="2" t="s">
        <v>518</v>
      </c>
      <c r="AG544" s="2" t="s">
        <v>62</v>
      </c>
      <c r="AH544" s="2" t="s">
        <v>63</v>
      </c>
      <c r="AI544" s="2" t="s">
        <v>194</v>
      </c>
      <c r="AJ544" s="23">
        <v>150</v>
      </c>
      <c r="AK544" s="23">
        <v>802</v>
      </c>
      <c r="AL544" s="23">
        <v>3343</v>
      </c>
      <c r="AM544" s="24">
        <v>0.23990427759497401</v>
      </c>
      <c r="AN544" s="44" t="str">
        <f>VLOOKUP(flu_aw25[[#This Row],[trust_code]],trust_lookup[],3,0)</f>
        <v>Croydon</v>
      </c>
    </row>
    <row r="545" spans="11:40" x14ac:dyDescent="0.35">
      <c r="K545" s="2" t="s">
        <v>518</v>
      </c>
      <c r="L545" s="2" t="s">
        <v>179</v>
      </c>
      <c r="M545" s="2" t="s">
        <v>180</v>
      </c>
      <c r="N545" s="2" t="s">
        <v>194</v>
      </c>
      <c r="O545" s="2" t="s">
        <v>36</v>
      </c>
      <c r="P545" s="2">
        <v>96</v>
      </c>
      <c r="R545" s="43">
        <v>45670</v>
      </c>
      <c r="S545" s="2">
        <v>3</v>
      </c>
      <c r="T545" s="2" t="s">
        <v>519</v>
      </c>
      <c r="U545" s="2" t="s">
        <v>147</v>
      </c>
      <c r="V545" s="2" t="s">
        <v>148</v>
      </c>
      <c r="W545" s="2" t="s">
        <v>27</v>
      </c>
      <c r="X545" s="23">
        <v>14</v>
      </c>
      <c r="Y545" s="23">
        <v>1218</v>
      </c>
      <c r="Z545" s="23">
        <v>5165</v>
      </c>
      <c r="AA545" s="24">
        <v>0.23581800580832499</v>
      </c>
      <c r="AB545" s="14" t="str">
        <f>VLOOKUP(flu_aw24[[#This Row],[trust_code]],trust_lookup[],3,0)</f>
        <v>North London</v>
      </c>
      <c r="AD545" s="43">
        <v>45978</v>
      </c>
      <c r="AE545" s="2">
        <v>47</v>
      </c>
      <c r="AF545" s="2" t="s">
        <v>518</v>
      </c>
      <c r="AG545" s="2" t="s">
        <v>62</v>
      </c>
      <c r="AH545" s="2" t="s">
        <v>63</v>
      </c>
      <c r="AI545" s="2" t="s">
        <v>194</v>
      </c>
      <c r="AJ545" s="23">
        <v>151</v>
      </c>
      <c r="AK545" s="23">
        <v>953</v>
      </c>
      <c r="AL545" s="23">
        <v>3343</v>
      </c>
      <c r="AM545" s="24">
        <v>0.28507328746634703</v>
      </c>
      <c r="AN545" s="44" t="str">
        <f>VLOOKUP(flu_aw25[[#This Row],[trust_code]],trust_lookup[],3,0)</f>
        <v>Croydon</v>
      </c>
    </row>
    <row r="546" spans="11:40" x14ac:dyDescent="0.35">
      <c r="K546" s="2" t="s">
        <v>519</v>
      </c>
      <c r="L546" s="2" t="s">
        <v>83</v>
      </c>
      <c r="M546" s="2" t="s">
        <v>84</v>
      </c>
      <c r="N546" s="2" t="s">
        <v>27</v>
      </c>
      <c r="O546" s="2" t="s">
        <v>68</v>
      </c>
      <c r="P546" s="2">
        <v>870</v>
      </c>
      <c r="R546" s="43">
        <v>45677</v>
      </c>
      <c r="S546" s="2">
        <v>4</v>
      </c>
      <c r="T546" s="2" t="s">
        <v>519</v>
      </c>
      <c r="U546" s="2" t="s">
        <v>147</v>
      </c>
      <c r="V546" s="2" t="s">
        <v>148</v>
      </c>
      <c r="W546" s="2" t="s">
        <v>27</v>
      </c>
      <c r="X546" s="23">
        <v>11</v>
      </c>
      <c r="Y546" s="23">
        <v>1229</v>
      </c>
      <c r="Z546" s="23">
        <v>5165</v>
      </c>
      <c r="AA546" s="24">
        <v>0.237947725072604</v>
      </c>
      <c r="AB546" s="14" t="str">
        <f>VLOOKUP(flu_aw24[[#This Row],[trust_code]],trust_lookup[],3,0)</f>
        <v>North London</v>
      </c>
      <c r="AD546" s="43">
        <v>45985</v>
      </c>
      <c r="AE546" s="2">
        <v>48</v>
      </c>
      <c r="AF546" s="2" t="s">
        <v>518</v>
      </c>
      <c r="AG546" s="2" t="s">
        <v>62</v>
      </c>
      <c r="AH546" s="2" t="s">
        <v>63</v>
      </c>
      <c r="AI546" s="2" t="s">
        <v>194</v>
      </c>
      <c r="AJ546" s="23">
        <v>116</v>
      </c>
      <c r="AK546" s="23">
        <v>1069</v>
      </c>
      <c r="AL546" s="23">
        <v>3343</v>
      </c>
      <c r="AM546" s="24">
        <v>0.31977265928806398</v>
      </c>
      <c r="AN546" s="44" t="str">
        <f>VLOOKUP(flu_aw25[[#This Row],[trust_code]],trust_lookup[],3,0)</f>
        <v>Croydon</v>
      </c>
    </row>
    <row r="547" spans="11:40" x14ac:dyDescent="0.35">
      <c r="K547" s="2" t="s">
        <v>519</v>
      </c>
      <c r="L547" s="2" t="s">
        <v>83</v>
      </c>
      <c r="M547" s="2" t="s">
        <v>84</v>
      </c>
      <c r="N547" s="2" t="s">
        <v>27</v>
      </c>
      <c r="O547" s="2" t="s">
        <v>135</v>
      </c>
      <c r="P547" s="2">
        <v>44</v>
      </c>
      <c r="R547" s="43">
        <v>45684</v>
      </c>
      <c r="S547" s="2">
        <v>5</v>
      </c>
      <c r="T547" s="2" t="s">
        <v>519</v>
      </c>
      <c r="U547" s="2" t="s">
        <v>147</v>
      </c>
      <c r="V547" s="2" t="s">
        <v>148</v>
      </c>
      <c r="W547" s="2" t="s">
        <v>27</v>
      </c>
      <c r="X547" s="23">
        <v>3</v>
      </c>
      <c r="Y547" s="23">
        <v>1232</v>
      </c>
      <c r="Z547" s="23">
        <v>5165</v>
      </c>
      <c r="AA547" s="24">
        <v>0.23852855759922501</v>
      </c>
      <c r="AB547" s="14" t="str">
        <f>VLOOKUP(flu_aw24[[#This Row],[trust_code]],trust_lookup[],3,0)</f>
        <v>North London</v>
      </c>
      <c r="AD547" s="43">
        <v>45992</v>
      </c>
      <c r="AE547" s="2">
        <v>49</v>
      </c>
      <c r="AF547" s="2" t="s">
        <v>518</v>
      </c>
      <c r="AG547" s="2" t="s">
        <v>62</v>
      </c>
      <c r="AH547" s="2" t="s">
        <v>63</v>
      </c>
      <c r="AI547" s="2" t="s">
        <v>194</v>
      </c>
      <c r="AJ547" s="23">
        <v>63</v>
      </c>
      <c r="AK547" s="23">
        <v>1132</v>
      </c>
      <c r="AL547" s="23">
        <v>3343</v>
      </c>
      <c r="AM547" s="24">
        <v>0.338618007777445</v>
      </c>
      <c r="AN547" s="44" t="str">
        <f>VLOOKUP(flu_aw25[[#This Row],[trust_code]],trust_lookup[],3,0)</f>
        <v>Croydon</v>
      </c>
    </row>
    <row r="548" spans="11:40" x14ac:dyDescent="0.35">
      <c r="K548" s="2" t="s">
        <v>519</v>
      </c>
      <c r="L548" s="2" t="s">
        <v>83</v>
      </c>
      <c r="M548" s="2" t="s">
        <v>84</v>
      </c>
      <c r="N548" s="2" t="s">
        <v>27</v>
      </c>
      <c r="O548" s="2" t="s">
        <v>54</v>
      </c>
      <c r="P548" s="2">
        <v>221</v>
      </c>
      <c r="R548" s="43">
        <v>45691</v>
      </c>
      <c r="S548" s="2">
        <v>6</v>
      </c>
      <c r="T548" s="2" t="s">
        <v>519</v>
      </c>
      <c r="U548" s="2" t="s">
        <v>147</v>
      </c>
      <c r="V548" s="2" t="s">
        <v>148</v>
      </c>
      <c r="W548" s="2" t="s">
        <v>27</v>
      </c>
      <c r="X548" s="23">
        <v>1</v>
      </c>
      <c r="Y548" s="23">
        <v>1233</v>
      </c>
      <c r="Z548" s="23">
        <v>5165</v>
      </c>
      <c r="AA548" s="24">
        <v>0.23872216844143199</v>
      </c>
      <c r="AB548" s="14" t="str">
        <f>VLOOKUP(flu_aw24[[#This Row],[trust_code]],trust_lookup[],3,0)</f>
        <v>North London</v>
      </c>
      <c r="AD548" s="43">
        <v>45999</v>
      </c>
      <c r="AE548" s="2">
        <v>50</v>
      </c>
      <c r="AF548" s="2" t="s">
        <v>518</v>
      </c>
      <c r="AG548" s="2" t="s">
        <v>62</v>
      </c>
      <c r="AH548" s="2" t="s">
        <v>63</v>
      </c>
      <c r="AI548" s="2" t="s">
        <v>194</v>
      </c>
      <c r="AJ548" s="23">
        <v>52</v>
      </c>
      <c r="AK548" s="23">
        <v>1184</v>
      </c>
      <c r="AL548" s="23">
        <v>3343</v>
      </c>
      <c r="AM548" s="24">
        <v>0.35417289859407702</v>
      </c>
      <c r="AN548" s="44" t="str">
        <f>VLOOKUP(flu_aw25[[#This Row],[trust_code]],trust_lookup[],3,0)</f>
        <v>Croydon</v>
      </c>
    </row>
    <row r="549" spans="11:40" x14ac:dyDescent="0.35">
      <c r="K549" s="2" t="s">
        <v>519</v>
      </c>
      <c r="L549" s="2" t="s">
        <v>83</v>
      </c>
      <c r="M549" s="2" t="s">
        <v>84</v>
      </c>
      <c r="N549" s="2" t="s">
        <v>27</v>
      </c>
      <c r="O549" s="2" t="s">
        <v>129</v>
      </c>
      <c r="P549" s="2">
        <v>5</v>
      </c>
      <c r="R549" s="43">
        <v>45705</v>
      </c>
      <c r="S549" s="2">
        <v>8</v>
      </c>
      <c r="T549" s="2" t="s">
        <v>519</v>
      </c>
      <c r="U549" s="2" t="s">
        <v>147</v>
      </c>
      <c r="V549" s="2" t="s">
        <v>148</v>
      </c>
      <c r="W549" s="2" t="s">
        <v>27</v>
      </c>
      <c r="X549" s="23">
        <v>2</v>
      </c>
      <c r="Y549" s="23">
        <v>1235</v>
      </c>
      <c r="Z549" s="23">
        <v>5165</v>
      </c>
      <c r="AA549" s="24">
        <v>0.239109390125847</v>
      </c>
      <c r="AB549" s="14" t="str">
        <f>VLOOKUP(flu_aw24[[#This Row],[trust_code]],trust_lookup[],3,0)</f>
        <v>North London</v>
      </c>
      <c r="AD549" s="43">
        <v>46006</v>
      </c>
      <c r="AE549" s="2">
        <v>51</v>
      </c>
      <c r="AF549" s="2" t="s">
        <v>518</v>
      </c>
      <c r="AG549" s="2" t="s">
        <v>62</v>
      </c>
      <c r="AH549" s="2" t="s">
        <v>63</v>
      </c>
      <c r="AI549" s="2" t="s">
        <v>194</v>
      </c>
      <c r="AJ549" s="23">
        <v>68</v>
      </c>
      <c r="AK549" s="23">
        <v>1252</v>
      </c>
      <c r="AL549" s="23">
        <v>3343</v>
      </c>
      <c r="AM549" s="24">
        <v>0.37451390966198</v>
      </c>
      <c r="AN549" s="44" t="str">
        <f>VLOOKUP(flu_aw25[[#This Row],[trust_code]],trust_lookup[],3,0)</f>
        <v>Croydon</v>
      </c>
    </row>
    <row r="550" spans="11:40" x14ac:dyDescent="0.35">
      <c r="K550" s="2" t="s">
        <v>519</v>
      </c>
      <c r="L550" s="2" t="s">
        <v>83</v>
      </c>
      <c r="M550" s="2" t="s">
        <v>84</v>
      </c>
      <c r="N550" s="2" t="s">
        <v>27</v>
      </c>
      <c r="O550" s="2" t="s">
        <v>47</v>
      </c>
      <c r="P550" s="2">
        <v>6</v>
      </c>
      <c r="R550" s="43">
        <v>45712</v>
      </c>
      <c r="S550" s="2">
        <v>9</v>
      </c>
      <c r="T550" s="2" t="s">
        <v>519</v>
      </c>
      <c r="U550" s="2" t="s">
        <v>147</v>
      </c>
      <c r="V550" s="2" t="s">
        <v>148</v>
      </c>
      <c r="W550" s="2" t="s">
        <v>27</v>
      </c>
      <c r="X550" s="23">
        <v>2</v>
      </c>
      <c r="Y550" s="23">
        <v>1237</v>
      </c>
      <c r="Z550" s="23">
        <v>5165</v>
      </c>
      <c r="AA550" s="24">
        <v>0.239496611810261</v>
      </c>
      <c r="AB550" s="14" t="str">
        <f>VLOOKUP(flu_aw24[[#This Row],[trust_code]],trust_lookup[],3,0)</f>
        <v>North London</v>
      </c>
      <c r="AD550" s="43">
        <v>46013</v>
      </c>
      <c r="AE550" s="2">
        <v>52</v>
      </c>
      <c r="AF550" s="2" t="s">
        <v>518</v>
      </c>
      <c r="AG550" s="2" t="s">
        <v>62</v>
      </c>
      <c r="AH550" s="2" t="s">
        <v>63</v>
      </c>
      <c r="AI550" s="2" t="s">
        <v>194</v>
      </c>
      <c r="AJ550" s="23">
        <v>10</v>
      </c>
      <c r="AK550" s="23">
        <v>1262</v>
      </c>
      <c r="AL550" s="23">
        <v>3343</v>
      </c>
      <c r="AM550" s="24">
        <v>0.37750523481902398</v>
      </c>
      <c r="AN550" s="44" t="str">
        <f>VLOOKUP(flu_aw25[[#This Row],[trust_code]],trust_lookup[],3,0)</f>
        <v>Croydon</v>
      </c>
    </row>
    <row r="551" spans="11:40" x14ac:dyDescent="0.35">
      <c r="K551" s="2" t="s">
        <v>519</v>
      </c>
      <c r="L551" s="2" t="s">
        <v>83</v>
      </c>
      <c r="M551" s="2" t="s">
        <v>84</v>
      </c>
      <c r="N551" s="2" t="s">
        <v>27</v>
      </c>
      <c r="O551" s="2" t="s">
        <v>94</v>
      </c>
      <c r="P551" s="2">
        <v>20</v>
      </c>
      <c r="R551" s="43">
        <v>45719</v>
      </c>
      <c r="S551" s="2">
        <v>10</v>
      </c>
      <c r="T551" s="2" t="s">
        <v>519</v>
      </c>
      <c r="U551" s="2" t="s">
        <v>147</v>
      </c>
      <c r="V551" s="2" t="s">
        <v>148</v>
      </c>
      <c r="W551" s="2" t="s">
        <v>27</v>
      </c>
      <c r="X551" s="23">
        <v>2</v>
      </c>
      <c r="Y551" s="23">
        <v>1239</v>
      </c>
      <c r="Z551" s="23">
        <v>5165</v>
      </c>
      <c r="AA551" s="24">
        <v>0.23988383349467499</v>
      </c>
      <c r="AB551" s="14" t="str">
        <f>VLOOKUP(flu_aw24[[#This Row],[trust_code]],trust_lookup[],3,0)</f>
        <v>North London</v>
      </c>
      <c r="AD551" s="43">
        <v>46020</v>
      </c>
      <c r="AE551" s="2">
        <v>1</v>
      </c>
      <c r="AF551" s="2" t="s">
        <v>518</v>
      </c>
      <c r="AG551" s="2" t="s">
        <v>62</v>
      </c>
      <c r="AH551" s="2" t="s">
        <v>63</v>
      </c>
      <c r="AI551" s="2" t="s">
        <v>194</v>
      </c>
      <c r="AJ551" s="23">
        <v>18</v>
      </c>
      <c r="AK551" s="23">
        <v>1280</v>
      </c>
      <c r="AL551" s="23">
        <v>3343</v>
      </c>
      <c r="AM551" s="24">
        <v>0.38288962010170502</v>
      </c>
      <c r="AN551" s="44" t="str">
        <f>VLOOKUP(flu_aw25[[#This Row],[trust_code]],trust_lookup[],3,0)</f>
        <v>Croydon</v>
      </c>
    </row>
    <row r="552" spans="11:40" x14ac:dyDescent="0.35">
      <c r="K552" s="2" t="s">
        <v>519</v>
      </c>
      <c r="L552" s="2" t="s">
        <v>83</v>
      </c>
      <c r="M552" s="2" t="s">
        <v>84</v>
      </c>
      <c r="N552" s="2" t="s">
        <v>27</v>
      </c>
      <c r="O552" s="2" t="s">
        <v>29</v>
      </c>
      <c r="P552" s="2">
        <v>21</v>
      </c>
      <c r="R552" s="43">
        <v>45726</v>
      </c>
      <c r="S552" s="2">
        <v>11</v>
      </c>
      <c r="T552" s="2" t="s">
        <v>519</v>
      </c>
      <c r="U552" s="2" t="s">
        <v>147</v>
      </c>
      <c r="V552" s="2" t="s">
        <v>148</v>
      </c>
      <c r="W552" s="2" t="s">
        <v>27</v>
      </c>
      <c r="X552" s="23">
        <v>1</v>
      </c>
      <c r="Y552" s="23">
        <v>1240</v>
      </c>
      <c r="Z552" s="23">
        <v>5165</v>
      </c>
      <c r="AA552" s="24">
        <v>0.240077444336882</v>
      </c>
      <c r="AB552" s="14" t="str">
        <f>VLOOKUP(flu_aw24[[#This Row],[trust_code]],trust_lookup[],3,0)</f>
        <v>North London</v>
      </c>
      <c r="AD552" s="43">
        <v>46027</v>
      </c>
      <c r="AE552" s="2">
        <v>2</v>
      </c>
      <c r="AF552" s="2" t="s">
        <v>518</v>
      </c>
      <c r="AG552" s="2" t="s">
        <v>62</v>
      </c>
      <c r="AH552" s="2" t="s">
        <v>63</v>
      </c>
      <c r="AI552" s="2" t="s">
        <v>194</v>
      </c>
      <c r="AJ552" s="23">
        <v>12</v>
      </c>
      <c r="AK552" s="23">
        <v>1292</v>
      </c>
      <c r="AL552" s="23">
        <v>3343</v>
      </c>
      <c r="AM552" s="24">
        <v>0.38647921029015803</v>
      </c>
      <c r="AN552" s="44" t="str">
        <f>VLOOKUP(flu_aw25[[#This Row],[trust_code]],trust_lookup[],3,0)</f>
        <v>Croydon</v>
      </c>
    </row>
    <row r="553" spans="11:40" x14ac:dyDescent="0.35">
      <c r="K553" s="2" t="s">
        <v>519</v>
      </c>
      <c r="L553" s="2" t="s">
        <v>83</v>
      </c>
      <c r="M553" s="2" t="s">
        <v>84</v>
      </c>
      <c r="N553" s="2" t="s">
        <v>27</v>
      </c>
      <c r="O553" s="2" t="s">
        <v>123</v>
      </c>
      <c r="P553" s="2">
        <v>106</v>
      </c>
      <c r="R553" s="43">
        <v>45544</v>
      </c>
      <c r="S553" s="2">
        <v>37</v>
      </c>
      <c r="T553" s="2" t="s">
        <v>519</v>
      </c>
      <c r="U553" s="2" t="s">
        <v>152</v>
      </c>
      <c r="V553" s="2" t="s">
        <v>153</v>
      </c>
      <c r="W553" s="2" t="s">
        <v>193</v>
      </c>
      <c r="X553" s="23">
        <v>2</v>
      </c>
      <c r="Y553" s="23">
        <v>2</v>
      </c>
      <c r="Z553" s="23">
        <v>3051</v>
      </c>
      <c r="AA553" s="24">
        <v>6.5552277941658397E-4</v>
      </c>
      <c r="AB553" s="14" t="str">
        <f>VLOOKUP(flu_aw24[[#This Row],[trust_code]],trust_lookup[],3,0)</f>
        <v>Oxleas</v>
      </c>
      <c r="AD553" s="43">
        <v>46034</v>
      </c>
      <c r="AE553" s="2">
        <v>3</v>
      </c>
      <c r="AF553" s="2" t="s">
        <v>518</v>
      </c>
      <c r="AG553" s="2" t="s">
        <v>62</v>
      </c>
      <c r="AH553" s="2" t="s">
        <v>63</v>
      </c>
      <c r="AI553" s="2" t="s">
        <v>194</v>
      </c>
      <c r="AJ553" s="23">
        <v>21</v>
      </c>
      <c r="AK553" s="23">
        <v>1313</v>
      </c>
      <c r="AL553" s="23">
        <v>3343</v>
      </c>
      <c r="AM553" s="24">
        <v>0.392760993119952</v>
      </c>
      <c r="AN553" s="44" t="str">
        <f>VLOOKUP(flu_aw25[[#This Row],[trust_code]],trust_lookup[],3,0)</f>
        <v>Croydon</v>
      </c>
    </row>
    <row r="554" spans="11:40" x14ac:dyDescent="0.35">
      <c r="K554" s="2" t="s">
        <v>519</v>
      </c>
      <c r="L554" s="2" t="s">
        <v>83</v>
      </c>
      <c r="M554" s="2" t="s">
        <v>84</v>
      </c>
      <c r="N554" s="2" t="s">
        <v>27</v>
      </c>
      <c r="O554" s="2" t="s">
        <v>82</v>
      </c>
      <c r="P554" s="2">
        <v>13</v>
      </c>
      <c r="R554" s="43">
        <v>45565</v>
      </c>
      <c r="S554" s="2">
        <v>40</v>
      </c>
      <c r="T554" s="2" t="s">
        <v>519</v>
      </c>
      <c r="U554" s="2" t="s">
        <v>152</v>
      </c>
      <c r="V554" s="2" t="s">
        <v>153</v>
      </c>
      <c r="W554" s="2" t="s">
        <v>193</v>
      </c>
      <c r="X554" s="23">
        <v>97</v>
      </c>
      <c r="Y554" s="23">
        <v>99</v>
      </c>
      <c r="Z554" s="23">
        <v>3051</v>
      </c>
      <c r="AA554" s="24">
        <v>3.2448377581120902E-2</v>
      </c>
      <c r="AB554" s="14" t="str">
        <f>VLOOKUP(flu_aw24[[#This Row],[trust_code]],trust_lookup[],3,0)</f>
        <v>Oxleas</v>
      </c>
      <c r="AD554" s="43">
        <v>46041</v>
      </c>
      <c r="AE554" s="2">
        <v>4</v>
      </c>
      <c r="AF554" s="2" t="s">
        <v>518</v>
      </c>
      <c r="AG554" s="2" t="s">
        <v>62</v>
      </c>
      <c r="AH554" s="2" t="s">
        <v>63</v>
      </c>
      <c r="AI554" s="2" t="s">
        <v>194</v>
      </c>
      <c r="AJ554" s="23">
        <v>18</v>
      </c>
      <c r="AK554" s="23">
        <v>1331</v>
      </c>
      <c r="AL554" s="23">
        <v>3343</v>
      </c>
      <c r="AM554" s="24">
        <v>0.39814537840263198</v>
      </c>
      <c r="AN554" s="44" t="str">
        <f>VLOOKUP(flu_aw25[[#This Row],[trust_code]],trust_lookup[],3,0)</f>
        <v>Croydon</v>
      </c>
    </row>
    <row r="555" spans="11:40" x14ac:dyDescent="0.35">
      <c r="K555" s="2" t="s">
        <v>519</v>
      </c>
      <c r="L555" s="2" t="s">
        <v>83</v>
      </c>
      <c r="M555" s="2" t="s">
        <v>84</v>
      </c>
      <c r="N555" s="2" t="s">
        <v>27</v>
      </c>
      <c r="O555" s="2" t="s">
        <v>88</v>
      </c>
      <c r="P555" s="2">
        <v>24</v>
      </c>
      <c r="R555" s="43">
        <v>45572</v>
      </c>
      <c r="S555" s="2">
        <v>41</v>
      </c>
      <c r="T555" s="2" t="s">
        <v>519</v>
      </c>
      <c r="U555" s="2" t="s">
        <v>152</v>
      </c>
      <c r="V555" s="2" t="s">
        <v>153</v>
      </c>
      <c r="W555" s="2" t="s">
        <v>193</v>
      </c>
      <c r="X555" s="23">
        <v>160</v>
      </c>
      <c r="Y555" s="23">
        <v>259</v>
      </c>
      <c r="Z555" s="23">
        <v>3051</v>
      </c>
      <c r="AA555" s="24">
        <v>8.4890199934447699E-2</v>
      </c>
      <c r="AB555" s="14" t="str">
        <f>VLOOKUP(flu_aw24[[#This Row],[trust_code]],trust_lookup[],3,0)</f>
        <v>Oxleas</v>
      </c>
      <c r="AD555" s="43">
        <v>46048</v>
      </c>
      <c r="AE555" s="2">
        <v>5</v>
      </c>
      <c r="AF555" s="2" t="s">
        <v>518</v>
      </c>
      <c r="AG555" s="2" t="s">
        <v>62</v>
      </c>
      <c r="AH555" s="2" t="s">
        <v>63</v>
      </c>
      <c r="AI555" s="2" t="s">
        <v>194</v>
      </c>
      <c r="AJ555" s="23">
        <v>14</v>
      </c>
      <c r="AK555" s="23">
        <v>1345</v>
      </c>
      <c r="AL555" s="23">
        <v>3343</v>
      </c>
      <c r="AM555" s="24">
        <v>0.40233323362249401</v>
      </c>
      <c r="AN555" s="44" t="str">
        <f>VLOOKUP(flu_aw25[[#This Row],[trust_code]],trust_lookup[],3,0)</f>
        <v>Croydon</v>
      </c>
    </row>
    <row r="556" spans="11:40" x14ac:dyDescent="0.35">
      <c r="K556" s="2" t="s">
        <v>519</v>
      </c>
      <c r="L556" s="2" t="s">
        <v>83</v>
      </c>
      <c r="M556" s="2" t="s">
        <v>84</v>
      </c>
      <c r="N556" s="2" t="s">
        <v>27</v>
      </c>
      <c r="O556" s="2" t="s">
        <v>141</v>
      </c>
      <c r="P556" s="2">
        <v>109</v>
      </c>
      <c r="R556" s="43">
        <v>45579</v>
      </c>
      <c r="S556" s="2">
        <v>42</v>
      </c>
      <c r="T556" s="2" t="s">
        <v>519</v>
      </c>
      <c r="U556" s="2" t="s">
        <v>152</v>
      </c>
      <c r="V556" s="2" t="s">
        <v>153</v>
      </c>
      <c r="W556" s="2" t="s">
        <v>193</v>
      </c>
      <c r="X556" s="23">
        <v>148</v>
      </c>
      <c r="Y556" s="23">
        <v>407</v>
      </c>
      <c r="Z556" s="23">
        <v>3051</v>
      </c>
      <c r="AA556" s="24">
        <v>0.133398885611275</v>
      </c>
      <c r="AB556" s="14" t="str">
        <f>VLOOKUP(flu_aw24[[#This Row],[trust_code]],trust_lookup[],3,0)</f>
        <v>Oxleas</v>
      </c>
      <c r="AD556" s="43">
        <v>46055</v>
      </c>
      <c r="AE556" s="2">
        <v>6</v>
      </c>
      <c r="AF556" s="2" t="s">
        <v>518</v>
      </c>
      <c r="AG556" s="2" t="s">
        <v>62</v>
      </c>
      <c r="AH556" s="2" t="s">
        <v>63</v>
      </c>
      <c r="AI556" s="2" t="s">
        <v>194</v>
      </c>
      <c r="AJ556" s="23">
        <v>2</v>
      </c>
      <c r="AK556" s="23">
        <v>1347</v>
      </c>
      <c r="AL556" s="23">
        <v>3343</v>
      </c>
      <c r="AM556" s="24">
        <v>0.40293149865390299</v>
      </c>
      <c r="AN556" s="44" t="str">
        <f>VLOOKUP(flu_aw25[[#This Row],[trust_code]],trust_lookup[],3,0)</f>
        <v>Croydon</v>
      </c>
    </row>
    <row r="557" spans="11:40" x14ac:dyDescent="0.35">
      <c r="K557" s="2" t="s">
        <v>519</v>
      </c>
      <c r="L557" s="2" t="s">
        <v>83</v>
      </c>
      <c r="M557" s="2" t="s">
        <v>84</v>
      </c>
      <c r="N557" s="2" t="s">
        <v>27</v>
      </c>
      <c r="O557" s="2" t="s">
        <v>61</v>
      </c>
      <c r="P557" s="2">
        <v>15</v>
      </c>
      <c r="R557" s="43">
        <v>45586</v>
      </c>
      <c r="S557" s="2">
        <v>43</v>
      </c>
      <c r="T557" s="2" t="s">
        <v>519</v>
      </c>
      <c r="U557" s="2" t="s">
        <v>152</v>
      </c>
      <c r="V557" s="2" t="s">
        <v>153</v>
      </c>
      <c r="W557" s="2" t="s">
        <v>193</v>
      </c>
      <c r="X557" s="23">
        <v>122</v>
      </c>
      <c r="Y557" s="23">
        <v>529</v>
      </c>
      <c r="Z557" s="23">
        <v>3051</v>
      </c>
      <c r="AA557" s="24">
        <v>0.17338577515568601</v>
      </c>
      <c r="AB557" s="14" t="str">
        <f>VLOOKUP(flu_aw24[[#This Row],[trust_code]],trust_lookup[],3,0)</f>
        <v>Oxleas</v>
      </c>
      <c r="AD557" s="43">
        <v>46062</v>
      </c>
      <c r="AE557" s="2">
        <v>7</v>
      </c>
      <c r="AF557" s="2" t="s">
        <v>518</v>
      </c>
      <c r="AG557" s="2" t="s">
        <v>62</v>
      </c>
      <c r="AH557" s="2" t="s">
        <v>63</v>
      </c>
      <c r="AI557" s="2" t="s">
        <v>194</v>
      </c>
      <c r="AJ557" s="23">
        <v>2</v>
      </c>
      <c r="AK557" s="23">
        <v>1349</v>
      </c>
      <c r="AL557" s="23">
        <v>3343</v>
      </c>
      <c r="AM557" s="24">
        <v>0.40352976368531202</v>
      </c>
      <c r="AN557" s="44" t="str">
        <f>VLOOKUP(flu_aw25[[#This Row],[trust_code]],trust_lookup[],3,0)</f>
        <v>Croydon</v>
      </c>
    </row>
    <row r="558" spans="11:40" x14ac:dyDescent="0.35">
      <c r="K558" s="2" t="s">
        <v>519</v>
      </c>
      <c r="L558" s="2" t="s">
        <v>83</v>
      </c>
      <c r="M558" s="2" t="s">
        <v>84</v>
      </c>
      <c r="N558" s="2" t="s">
        <v>27</v>
      </c>
      <c r="O558" s="2" t="s">
        <v>100</v>
      </c>
      <c r="P558" s="2">
        <v>96</v>
      </c>
      <c r="R558" s="43">
        <v>45593</v>
      </c>
      <c r="S558" s="2">
        <v>44</v>
      </c>
      <c r="T558" s="2" t="s">
        <v>519</v>
      </c>
      <c r="U558" s="2" t="s">
        <v>152</v>
      </c>
      <c r="V558" s="2" t="s">
        <v>153</v>
      </c>
      <c r="W558" s="2" t="s">
        <v>193</v>
      </c>
      <c r="X558" s="23">
        <v>67</v>
      </c>
      <c r="Y558" s="23">
        <v>596</v>
      </c>
      <c r="Z558" s="23">
        <v>3051</v>
      </c>
      <c r="AA558" s="24">
        <v>0.19534578826614199</v>
      </c>
      <c r="AB558" s="14" t="str">
        <f>VLOOKUP(flu_aw24[[#This Row],[trust_code]],trust_lookup[],3,0)</f>
        <v>Oxleas</v>
      </c>
      <c r="AD558" s="43">
        <v>46076</v>
      </c>
      <c r="AE558" s="2">
        <v>9</v>
      </c>
      <c r="AF558" s="2" t="s">
        <v>518</v>
      </c>
      <c r="AG558" s="2" t="s">
        <v>62</v>
      </c>
      <c r="AH558" s="2" t="s">
        <v>63</v>
      </c>
      <c r="AI558" s="2" t="s">
        <v>194</v>
      </c>
      <c r="AJ558" s="23">
        <v>2</v>
      </c>
      <c r="AK558" s="23">
        <v>1351</v>
      </c>
      <c r="AL558" s="23">
        <v>3343</v>
      </c>
      <c r="AM558" s="24">
        <v>0.40412802871672099</v>
      </c>
      <c r="AN558" s="44" t="str">
        <f>VLOOKUP(flu_aw25[[#This Row],[trust_code]],trust_lookup[],3,0)</f>
        <v>Croydon</v>
      </c>
    </row>
    <row r="559" spans="11:40" x14ac:dyDescent="0.35">
      <c r="K559" s="2" t="s">
        <v>519</v>
      </c>
      <c r="L559" s="2" t="s">
        <v>83</v>
      </c>
      <c r="M559" s="2" t="s">
        <v>84</v>
      </c>
      <c r="N559" s="2" t="s">
        <v>27</v>
      </c>
      <c r="O559" s="2" t="s">
        <v>75</v>
      </c>
      <c r="P559" s="2">
        <v>21</v>
      </c>
      <c r="R559" s="43">
        <v>45600</v>
      </c>
      <c r="S559" s="2">
        <v>45</v>
      </c>
      <c r="T559" s="2" t="s">
        <v>519</v>
      </c>
      <c r="U559" s="2" t="s">
        <v>152</v>
      </c>
      <c r="V559" s="2" t="s">
        <v>153</v>
      </c>
      <c r="W559" s="2" t="s">
        <v>193</v>
      </c>
      <c r="X559" s="23">
        <v>78</v>
      </c>
      <c r="Y559" s="23">
        <v>674</v>
      </c>
      <c r="Z559" s="23">
        <v>3051</v>
      </c>
      <c r="AA559" s="24">
        <v>0.220911176663389</v>
      </c>
      <c r="AB559" s="14" t="str">
        <f>VLOOKUP(flu_aw24[[#This Row],[trust_code]],trust_lookup[],3,0)</f>
        <v>Oxleas</v>
      </c>
      <c r="AD559" s="43">
        <v>45901</v>
      </c>
      <c r="AE559" s="2">
        <v>36</v>
      </c>
      <c r="AF559" s="2" t="s">
        <v>518</v>
      </c>
      <c r="AG559" s="2" t="s">
        <v>185</v>
      </c>
      <c r="AH559" s="2" t="s">
        <v>186</v>
      </c>
      <c r="AI559" s="2" t="s">
        <v>27</v>
      </c>
      <c r="AJ559" s="23">
        <v>3</v>
      </c>
      <c r="AK559" s="23">
        <v>3</v>
      </c>
      <c r="AL559" s="23">
        <v>2969</v>
      </c>
      <c r="AM559" s="24">
        <v>1.01044122600202E-3</v>
      </c>
      <c r="AN559" s="44" t="str">
        <f>VLOOKUP(flu_aw25[[#This Row],[trust_code]],trust_lookup[],3,0)</f>
        <v>Whittington</v>
      </c>
    </row>
    <row r="560" spans="11:40" x14ac:dyDescent="0.35">
      <c r="K560" s="2" t="s">
        <v>519</v>
      </c>
      <c r="L560" s="2" t="s">
        <v>83</v>
      </c>
      <c r="M560" s="2" t="s">
        <v>84</v>
      </c>
      <c r="N560" s="2" t="s">
        <v>27</v>
      </c>
      <c r="O560" s="2" t="s">
        <v>106</v>
      </c>
      <c r="P560" s="2">
        <v>29</v>
      </c>
      <c r="R560" s="43">
        <v>45607</v>
      </c>
      <c r="S560" s="2">
        <v>46</v>
      </c>
      <c r="T560" s="2" t="s">
        <v>519</v>
      </c>
      <c r="U560" s="2" t="s">
        <v>152</v>
      </c>
      <c r="V560" s="2" t="s">
        <v>153</v>
      </c>
      <c r="W560" s="2" t="s">
        <v>193</v>
      </c>
      <c r="X560" s="23">
        <v>81</v>
      </c>
      <c r="Y560" s="23">
        <v>755</v>
      </c>
      <c r="Z560" s="23">
        <v>3051</v>
      </c>
      <c r="AA560" s="24">
        <v>0.24745984922976</v>
      </c>
      <c r="AB560" s="14" t="str">
        <f>VLOOKUP(flu_aw24[[#This Row],[trust_code]],trust_lookup[],3,0)</f>
        <v>Oxleas</v>
      </c>
      <c r="AD560" s="43">
        <v>45915</v>
      </c>
      <c r="AE560" s="2">
        <v>38</v>
      </c>
      <c r="AF560" s="2" t="s">
        <v>518</v>
      </c>
      <c r="AG560" s="2" t="s">
        <v>185</v>
      </c>
      <c r="AH560" s="2" t="s">
        <v>186</v>
      </c>
      <c r="AI560" s="2" t="s">
        <v>27</v>
      </c>
      <c r="AJ560" s="23">
        <v>3</v>
      </c>
      <c r="AK560" s="23">
        <v>6</v>
      </c>
      <c r="AL560" s="23">
        <v>2969</v>
      </c>
      <c r="AM560" s="24">
        <v>2.02088245200404E-3</v>
      </c>
      <c r="AN560" s="44" t="str">
        <f>VLOOKUP(flu_aw25[[#This Row],[trust_code]],trust_lookup[],3,0)</f>
        <v>Whittington</v>
      </c>
    </row>
    <row r="561" spans="11:40" x14ac:dyDescent="0.35">
      <c r="K561" s="2" t="s">
        <v>519</v>
      </c>
      <c r="L561" s="2" t="s">
        <v>83</v>
      </c>
      <c r="M561" s="2" t="s">
        <v>84</v>
      </c>
      <c r="N561" s="2" t="s">
        <v>27</v>
      </c>
      <c r="O561" s="2" t="s">
        <v>112</v>
      </c>
      <c r="P561" s="2">
        <v>89</v>
      </c>
      <c r="R561" s="43">
        <v>45614</v>
      </c>
      <c r="S561" s="2">
        <v>47</v>
      </c>
      <c r="T561" s="2" t="s">
        <v>519</v>
      </c>
      <c r="U561" s="2" t="s">
        <v>152</v>
      </c>
      <c r="V561" s="2" t="s">
        <v>153</v>
      </c>
      <c r="W561" s="2" t="s">
        <v>193</v>
      </c>
      <c r="X561" s="23">
        <v>63</v>
      </c>
      <c r="Y561" s="23">
        <v>818</v>
      </c>
      <c r="Z561" s="23">
        <v>3051</v>
      </c>
      <c r="AA561" s="24">
        <v>0.26810881678138299</v>
      </c>
      <c r="AB561" s="14" t="str">
        <f>VLOOKUP(flu_aw24[[#This Row],[trust_code]],trust_lookup[],3,0)</f>
        <v>Oxleas</v>
      </c>
      <c r="AD561" s="43">
        <v>45929</v>
      </c>
      <c r="AE561" s="2">
        <v>40</v>
      </c>
      <c r="AF561" s="2" t="s">
        <v>518</v>
      </c>
      <c r="AG561" s="2" t="s">
        <v>185</v>
      </c>
      <c r="AH561" s="2" t="s">
        <v>186</v>
      </c>
      <c r="AI561" s="2" t="s">
        <v>27</v>
      </c>
      <c r="AJ561" s="23">
        <v>101</v>
      </c>
      <c r="AK561" s="23">
        <v>107</v>
      </c>
      <c r="AL561" s="23">
        <v>2969</v>
      </c>
      <c r="AM561" s="24">
        <v>3.6039070394071997E-2</v>
      </c>
      <c r="AN561" s="44" t="str">
        <f>VLOOKUP(flu_aw25[[#This Row],[trust_code]],trust_lookup[],3,0)</f>
        <v>Whittington</v>
      </c>
    </row>
    <row r="562" spans="11:40" x14ac:dyDescent="0.35">
      <c r="K562" s="2" t="s">
        <v>519</v>
      </c>
      <c r="L562" s="2" t="s">
        <v>83</v>
      </c>
      <c r="M562" s="2" t="s">
        <v>84</v>
      </c>
      <c r="N562" s="2" t="s">
        <v>27</v>
      </c>
      <c r="O562" s="2" t="s">
        <v>36</v>
      </c>
      <c r="P562" s="2">
        <v>87</v>
      </c>
      <c r="R562" s="43">
        <v>45621</v>
      </c>
      <c r="S562" s="2">
        <v>48</v>
      </c>
      <c r="T562" s="2" t="s">
        <v>519</v>
      </c>
      <c r="U562" s="2" t="s">
        <v>152</v>
      </c>
      <c r="V562" s="2" t="s">
        <v>153</v>
      </c>
      <c r="W562" s="2" t="s">
        <v>193</v>
      </c>
      <c r="X562" s="23">
        <v>31</v>
      </c>
      <c r="Y562" s="23">
        <v>849</v>
      </c>
      <c r="Z562" s="23">
        <v>3051</v>
      </c>
      <c r="AA562" s="24">
        <v>0.27826941986234</v>
      </c>
      <c r="AB562" s="14" t="str">
        <f>VLOOKUP(flu_aw24[[#This Row],[trust_code]],trust_lookup[],3,0)</f>
        <v>Oxleas</v>
      </c>
      <c r="AD562" s="43">
        <v>45936</v>
      </c>
      <c r="AE562" s="2">
        <v>41</v>
      </c>
      <c r="AF562" s="2" t="s">
        <v>518</v>
      </c>
      <c r="AG562" s="2" t="s">
        <v>185</v>
      </c>
      <c r="AH562" s="2" t="s">
        <v>186</v>
      </c>
      <c r="AI562" s="2" t="s">
        <v>27</v>
      </c>
      <c r="AJ562" s="23">
        <v>132</v>
      </c>
      <c r="AK562" s="23">
        <v>239</v>
      </c>
      <c r="AL562" s="23">
        <v>2969</v>
      </c>
      <c r="AM562" s="24">
        <v>8.0498484338160994E-2</v>
      </c>
      <c r="AN562" s="44" t="str">
        <f>VLOOKUP(flu_aw25[[#This Row],[trust_code]],trust_lookup[],3,0)</f>
        <v>Whittington</v>
      </c>
    </row>
    <row r="563" spans="11:40" x14ac:dyDescent="0.35">
      <c r="K563" s="2" t="s">
        <v>519</v>
      </c>
      <c r="L563" s="2" t="s">
        <v>136</v>
      </c>
      <c r="M563" s="2" t="s">
        <v>137</v>
      </c>
      <c r="N563" s="2" t="s">
        <v>27</v>
      </c>
      <c r="O563" s="2" t="s">
        <v>68</v>
      </c>
      <c r="P563" s="2">
        <v>176</v>
      </c>
      <c r="R563" s="43">
        <v>45628</v>
      </c>
      <c r="S563" s="2">
        <v>49</v>
      </c>
      <c r="T563" s="2" t="s">
        <v>519</v>
      </c>
      <c r="U563" s="2" t="s">
        <v>152</v>
      </c>
      <c r="V563" s="2" t="s">
        <v>153</v>
      </c>
      <c r="W563" s="2" t="s">
        <v>193</v>
      </c>
      <c r="X563" s="23">
        <v>28</v>
      </c>
      <c r="Y563" s="23">
        <v>877</v>
      </c>
      <c r="Z563" s="23">
        <v>3051</v>
      </c>
      <c r="AA563" s="24">
        <v>0.28744673877417198</v>
      </c>
      <c r="AB563" s="14" t="str">
        <f>VLOOKUP(flu_aw24[[#This Row],[trust_code]],trust_lookup[],3,0)</f>
        <v>Oxleas</v>
      </c>
      <c r="AD563" s="43">
        <v>45943</v>
      </c>
      <c r="AE563" s="2">
        <v>42</v>
      </c>
      <c r="AF563" s="2" t="s">
        <v>518</v>
      </c>
      <c r="AG563" s="2" t="s">
        <v>185</v>
      </c>
      <c r="AH563" s="2" t="s">
        <v>186</v>
      </c>
      <c r="AI563" s="2" t="s">
        <v>27</v>
      </c>
      <c r="AJ563" s="23">
        <v>158</v>
      </c>
      <c r="AK563" s="23">
        <v>397</v>
      </c>
      <c r="AL563" s="23">
        <v>2969</v>
      </c>
      <c r="AM563" s="24">
        <v>0.13371505557426699</v>
      </c>
      <c r="AN563" s="44" t="str">
        <f>VLOOKUP(flu_aw25[[#This Row],[trust_code]],trust_lookup[],3,0)</f>
        <v>Whittington</v>
      </c>
    </row>
    <row r="564" spans="11:40" x14ac:dyDescent="0.35">
      <c r="K564" s="2" t="s">
        <v>519</v>
      </c>
      <c r="L564" s="2" t="s">
        <v>136</v>
      </c>
      <c r="M564" s="2" t="s">
        <v>137</v>
      </c>
      <c r="N564" s="2" t="s">
        <v>27</v>
      </c>
      <c r="O564" s="2" t="s">
        <v>135</v>
      </c>
      <c r="P564" s="2">
        <v>12</v>
      </c>
      <c r="R564" s="43">
        <v>45635</v>
      </c>
      <c r="S564" s="2">
        <v>50</v>
      </c>
      <c r="T564" s="2" t="s">
        <v>519</v>
      </c>
      <c r="U564" s="2" t="s">
        <v>152</v>
      </c>
      <c r="V564" s="2" t="s">
        <v>153</v>
      </c>
      <c r="W564" s="2" t="s">
        <v>193</v>
      </c>
      <c r="X564" s="23">
        <v>19</v>
      </c>
      <c r="Y564" s="23">
        <v>896</v>
      </c>
      <c r="Z564" s="23">
        <v>3051</v>
      </c>
      <c r="AA564" s="24">
        <v>0.29367420517862902</v>
      </c>
      <c r="AB564" s="14" t="str">
        <f>VLOOKUP(flu_aw24[[#This Row],[trust_code]],trust_lookup[],3,0)</f>
        <v>Oxleas</v>
      </c>
      <c r="AD564" s="43">
        <v>45950</v>
      </c>
      <c r="AE564" s="2">
        <v>43</v>
      </c>
      <c r="AF564" s="2" t="s">
        <v>518</v>
      </c>
      <c r="AG564" s="2" t="s">
        <v>185</v>
      </c>
      <c r="AH564" s="2" t="s">
        <v>186</v>
      </c>
      <c r="AI564" s="2" t="s">
        <v>27</v>
      </c>
      <c r="AJ564" s="23">
        <v>176</v>
      </c>
      <c r="AK564" s="23">
        <v>573</v>
      </c>
      <c r="AL564" s="23">
        <v>2969</v>
      </c>
      <c r="AM564" s="24">
        <v>0.19299427416638501</v>
      </c>
      <c r="AN564" s="44" t="str">
        <f>VLOOKUP(flu_aw25[[#This Row],[trust_code]],trust_lookup[],3,0)</f>
        <v>Whittington</v>
      </c>
    </row>
    <row r="565" spans="11:40" x14ac:dyDescent="0.35">
      <c r="K565" s="2" t="s">
        <v>519</v>
      </c>
      <c r="L565" s="2" t="s">
        <v>136</v>
      </c>
      <c r="M565" s="2" t="s">
        <v>137</v>
      </c>
      <c r="N565" s="2" t="s">
        <v>27</v>
      </c>
      <c r="O565" s="2" t="s">
        <v>54</v>
      </c>
      <c r="P565" s="2">
        <v>73</v>
      </c>
      <c r="R565" s="43">
        <v>45642</v>
      </c>
      <c r="S565" s="2">
        <v>51</v>
      </c>
      <c r="T565" s="2" t="s">
        <v>519</v>
      </c>
      <c r="U565" s="2" t="s">
        <v>152</v>
      </c>
      <c r="V565" s="2" t="s">
        <v>153</v>
      </c>
      <c r="W565" s="2" t="s">
        <v>193</v>
      </c>
      <c r="X565" s="23">
        <v>12</v>
      </c>
      <c r="Y565" s="23">
        <v>908</v>
      </c>
      <c r="Z565" s="23">
        <v>3051</v>
      </c>
      <c r="AA565" s="24">
        <v>0.29760734185512899</v>
      </c>
      <c r="AB565" s="14" t="str">
        <f>VLOOKUP(flu_aw24[[#This Row],[trust_code]],trust_lookup[],3,0)</f>
        <v>Oxleas</v>
      </c>
      <c r="AD565" s="43">
        <v>45957</v>
      </c>
      <c r="AE565" s="2">
        <v>44</v>
      </c>
      <c r="AF565" s="2" t="s">
        <v>518</v>
      </c>
      <c r="AG565" s="2" t="s">
        <v>185</v>
      </c>
      <c r="AH565" s="2" t="s">
        <v>186</v>
      </c>
      <c r="AI565" s="2" t="s">
        <v>27</v>
      </c>
      <c r="AJ565" s="23">
        <v>70</v>
      </c>
      <c r="AK565" s="23">
        <v>643</v>
      </c>
      <c r="AL565" s="23">
        <v>2969</v>
      </c>
      <c r="AM565" s="24">
        <v>0.216571236106433</v>
      </c>
      <c r="AN565" s="44" t="str">
        <f>VLOOKUP(flu_aw25[[#This Row],[trust_code]],trust_lookup[],3,0)</f>
        <v>Whittington</v>
      </c>
    </row>
    <row r="566" spans="11:40" x14ac:dyDescent="0.35">
      <c r="K566" s="2" t="s">
        <v>519</v>
      </c>
      <c r="L566" s="2" t="s">
        <v>136</v>
      </c>
      <c r="M566" s="2" t="s">
        <v>137</v>
      </c>
      <c r="N566" s="2" t="s">
        <v>27</v>
      </c>
      <c r="O566" s="2" t="s">
        <v>129</v>
      </c>
      <c r="P566" s="2">
        <v>3</v>
      </c>
      <c r="R566" s="43">
        <v>45649</v>
      </c>
      <c r="S566" s="2">
        <v>52</v>
      </c>
      <c r="T566" s="2" t="s">
        <v>519</v>
      </c>
      <c r="U566" s="2" t="s">
        <v>152</v>
      </c>
      <c r="V566" s="2" t="s">
        <v>153</v>
      </c>
      <c r="W566" s="2" t="s">
        <v>193</v>
      </c>
      <c r="X566" s="23">
        <v>5</v>
      </c>
      <c r="Y566" s="23">
        <v>913</v>
      </c>
      <c r="Z566" s="23">
        <v>3051</v>
      </c>
      <c r="AA566" s="24">
        <v>0.29924614880367001</v>
      </c>
      <c r="AB566" s="14" t="str">
        <f>VLOOKUP(flu_aw24[[#This Row],[trust_code]],trust_lookup[],3,0)</f>
        <v>Oxleas</v>
      </c>
      <c r="AD566" s="43">
        <v>45964</v>
      </c>
      <c r="AE566" s="2">
        <v>45</v>
      </c>
      <c r="AF566" s="2" t="s">
        <v>518</v>
      </c>
      <c r="AG566" s="2" t="s">
        <v>185</v>
      </c>
      <c r="AH566" s="2" t="s">
        <v>186</v>
      </c>
      <c r="AI566" s="2" t="s">
        <v>27</v>
      </c>
      <c r="AJ566" s="23">
        <v>91</v>
      </c>
      <c r="AK566" s="23">
        <v>734</v>
      </c>
      <c r="AL566" s="23">
        <v>2969</v>
      </c>
      <c r="AM566" s="24">
        <v>0.24722128662849399</v>
      </c>
      <c r="AN566" s="44" t="str">
        <f>VLOOKUP(flu_aw25[[#This Row],[trust_code]],trust_lookup[],3,0)</f>
        <v>Whittington</v>
      </c>
    </row>
    <row r="567" spans="11:40" x14ac:dyDescent="0.35">
      <c r="K567" s="2" t="s">
        <v>519</v>
      </c>
      <c r="L567" s="2" t="s">
        <v>136</v>
      </c>
      <c r="M567" s="2" t="s">
        <v>137</v>
      </c>
      <c r="N567" s="2" t="s">
        <v>27</v>
      </c>
      <c r="O567" s="2" t="s">
        <v>47</v>
      </c>
      <c r="P567" s="2">
        <v>4</v>
      </c>
      <c r="R567" s="43">
        <v>45656</v>
      </c>
      <c r="S567" s="2">
        <v>1</v>
      </c>
      <c r="T567" s="2" t="s">
        <v>519</v>
      </c>
      <c r="U567" s="2" t="s">
        <v>152</v>
      </c>
      <c r="V567" s="2" t="s">
        <v>153</v>
      </c>
      <c r="W567" s="2" t="s">
        <v>193</v>
      </c>
      <c r="X567" s="23">
        <v>2</v>
      </c>
      <c r="Y567" s="23">
        <v>915</v>
      </c>
      <c r="Z567" s="23">
        <v>3051</v>
      </c>
      <c r="AA567" s="24">
        <v>0.299901671583087</v>
      </c>
      <c r="AB567" s="14" t="str">
        <f>VLOOKUP(flu_aw24[[#This Row],[trust_code]],trust_lookup[],3,0)</f>
        <v>Oxleas</v>
      </c>
      <c r="AD567" s="43">
        <v>45971</v>
      </c>
      <c r="AE567" s="2">
        <v>46</v>
      </c>
      <c r="AF567" s="2" t="s">
        <v>518</v>
      </c>
      <c r="AG567" s="2" t="s">
        <v>185</v>
      </c>
      <c r="AH567" s="2" t="s">
        <v>186</v>
      </c>
      <c r="AI567" s="2" t="s">
        <v>27</v>
      </c>
      <c r="AJ567" s="23">
        <v>80</v>
      </c>
      <c r="AK567" s="23">
        <v>814</v>
      </c>
      <c r="AL567" s="23">
        <v>2969</v>
      </c>
      <c r="AM567" s="24">
        <v>0.27416638598854798</v>
      </c>
      <c r="AN567" s="44" t="str">
        <f>VLOOKUP(flu_aw25[[#This Row],[trust_code]],trust_lookup[],3,0)</f>
        <v>Whittington</v>
      </c>
    </row>
    <row r="568" spans="11:40" x14ac:dyDescent="0.35">
      <c r="K568" s="2" t="s">
        <v>519</v>
      </c>
      <c r="L568" s="2" t="s">
        <v>136</v>
      </c>
      <c r="M568" s="2" t="s">
        <v>137</v>
      </c>
      <c r="N568" s="2" t="s">
        <v>27</v>
      </c>
      <c r="O568" s="2" t="s">
        <v>94</v>
      </c>
      <c r="P568" s="2">
        <v>11</v>
      </c>
      <c r="R568" s="43">
        <v>45663</v>
      </c>
      <c r="S568" s="2">
        <v>2</v>
      </c>
      <c r="T568" s="2" t="s">
        <v>519</v>
      </c>
      <c r="U568" s="2" t="s">
        <v>152</v>
      </c>
      <c r="V568" s="2" t="s">
        <v>153</v>
      </c>
      <c r="W568" s="2" t="s">
        <v>193</v>
      </c>
      <c r="X568" s="23">
        <v>6</v>
      </c>
      <c r="Y568" s="23">
        <v>921</v>
      </c>
      <c r="Z568" s="23">
        <v>3051</v>
      </c>
      <c r="AA568" s="24">
        <v>0.30186823992133699</v>
      </c>
      <c r="AB568" s="14" t="str">
        <f>VLOOKUP(flu_aw24[[#This Row],[trust_code]],trust_lookup[],3,0)</f>
        <v>Oxleas</v>
      </c>
      <c r="AD568" s="43">
        <v>45978</v>
      </c>
      <c r="AE568" s="2">
        <v>47</v>
      </c>
      <c r="AF568" s="2" t="s">
        <v>518</v>
      </c>
      <c r="AG568" s="2" t="s">
        <v>185</v>
      </c>
      <c r="AH568" s="2" t="s">
        <v>186</v>
      </c>
      <c r="AI568" s="2" t="s">
        <v>27</v>
      </c>
      <c r="AJ568" s="23">
        <v>68</v>
      </c>
      <c r="AK568" s="23">
        <v>882</v>
      </c>
      <c r="AL568" s="23">
        <v>2969</v>
      </c>
      <c r="AM568" s="24">
        <v>0.29706972044459401</v>
      </c>
      <c r="AN568" s="44" t="str">
        <f>VLOOKUP(flu_aw25[[#This Row],[trust_code]],trust_lookup[],3,0)</f>
        <v>Whittington</v>
      </c>
    </row>
    <row r="569" spans="11:40" x14ac:dyDescent="0.35">
      <c r="K569" s="2" t="s">
        <v>519</v>
      </c>
      <c r="L569" s="2" t="s">
        <v>136</v>
      </c>
      <c r="M569" s="2" t="s">
        <v>137</v>
      </c>
      <c r="N569" s="2" t="s">
        <v>27</v>
      </c>
      <c r="O569" s="2" t="s">
        <v>29</v>
      </c>
      <c r="P569" s="2">
        <v>20</v>
      </c>
      <c r="R569" s="43">
        <v>45670</v>
      </c>
      <c r="S569" s="2">
        <v>3</v>
      </c>
      <c r="T569" s="2" t="s">
        <v>519</v>
      </c>
      <c r="U569" s="2" t="s">
        <v>152</v>
      </c>
      <c r="V569" s="2" t="s">
        <v>153</v>
      </c>
      <c r="W569" s="2" t="s">
        <v>193</v>
      </c>
      <c r="X569" s="23">
        <v>12</v>
      </c>
      <c r="Y569" s="23">
        <v>933</v>
      </c>
      <c r="Z569" s="23">
        <v>3051</v>
      </c>
      <c r="AA569" s="24">
        <v>0.30580137659783602</v>
      </c>
      <c r="AB569" s="14" t="str">
        <f>VLOOKUP(flu_aw24[[#This Row],[trust_code]],trust_lookup[],3,0)</f>
        <v>Oxleas</v>
      </c>
      <c r="AD569" s="43">
        <v>45985</v>
      </c>
      <c r="AE569" s="2">
        <v>48</v>
      </c>
      <c r="AF569" s="2" t="s">
        <v>518</v>
      </c>
      <c r="AG569" s="2" t="s">
        <v>185</v>
      </c>
      <c r="AH569" s="2" t="s">
        <v>186</v>
      </c>
      <c r="AI569" s="2" t="s">
        <v>27</v>
      </c>
      <c r="AJ569" s="23">
        <v>34</v>
      </c>
      <c r="AK569" s="23">
        <v>916</v>
      </c>
      <c r="AL569" s="23">
        <v>2969</v>
      </c>
      <c r="AM569" s="24">
        <v>0.308521387672617</v>
      </c>
      <c r="AN569" s="44" t="str">
        <f>VLOOKUP(flu_aw25[[#This Row],[trust_code]],trust_lookup[],3,0)</f>
        <v>Whittington</v>
      </c>
    </row>
    <row r="570" spans="11:40" x14ac:dyDescent="0.35">
      <c r="K570" s="2" t="s">
        <v>519</v>
      </c>
      <c r="L570" s="2" t="s">
        <v>136</v>
      </c>
      <c r="M570" s="2" t="s">
        <v>137</v>
      </c>
      <c r="N570" s="2" t="s">
        <v>27</v>
      </c>
      <c r="O570" s="2" t="s">
        <v>123</v>
      </c>
      <c r="P570" s="2">
        <v>112</v>
      </c>
      <c r="R570" s="43">
        <v>45677</v>
      </c>
      <c r="S570" s="2">
        <v>4</v>
      </c>
      <c r="T570" s="2" t="s">
        <v>519</v>
      </c>
      <c r="U570" s="2" t="s">
        <v>152</v>
      </c>
      <c r="V570" s="2" t="s">
        <v>153</v>
      </c>
      <c r="W570" s="2" t="s">
        <v>193</v>
      </c>
      <c r="X570" s="23">
        <v>5</v>
      </c>
      <c r="Y570" s="23">
        <v>938</v>
      </c>
      <c r="Z570" s="23">
        <v>3051</v>
      </c>
      <c r="AA570" s="24">
        <v>0.30744018354637798</v>
      </c>
      <c r="AB570" s="14" t="str">
        <f>VLOOKUP(flu_aw24[[#This Row],[trust_code]],trust_lookup[],3,0)</f>
        <v>Oxleas</v>
      </c>
      <c r="AD570" s="43">
        <v>45992</v>
      </c>
      <c r="AE570" s="2">
        <v>49</v>
      </c>
      <c r="AF570" s="2" t="s">
        <v>518</v>
      </c>
      <c r="AG570" s="2" t="s">
        <v>185</v>
      </c>
      <c r="AH570" s="2" t="s">
        <v>186</v>
      </c>
      <c r="AI570" s="2" t="s">
        <v>27</v>
      </c>
      <c r="AJ570" s="23">
        <v>84</v>
      </c>
      <c r="AK570" s="23">
        <v>1000</v>
      </c>
      <c r="AL570" s="23">
        <v>2969</v>
      </c>
      <c r="AM570" s="24">
        <v>0.33681374200067299</v>
      </c>
      <c r="AN570" s="44" t="str">
        <f>VLOOKUP(flu_aw25[[#This Row],[trust_code]],trust_lookup[],3,0)</f>
        <v>Whittington</v>
      </c>
    </row>
    <row r="571" spans="11:40" x14ac:dyDescent="0.35">
      <c r="K571" s="2" t="s">
        <v>519</v>
      </c>
      <c r="L571" s="2" t="s">
        <v>136</v>
      </c>
      <c r="M571" s="2" t="s">
        <v>137</v>
      </c>
      <c r="N571" s="2" t="s">
        <v>27</v>
      </c>
      <c r="O571" s="2" t="s">
        <v>82</v>
      </c>
      <c r="P571" s="2">
        <v>13</v>
      </c>
      <c r="R571" s="43">
        <v>45684</v>
      </c>
      <c r="S571" s="2">
        <v>5</v>
      </c>
      <c r="T571" s="2" t="s">
        <v>519</v>
      </c>
      <c r="U571" s="2" t="s">
        <v>152</v>
      </c>
      <c r="V571" s="2" t="s">
        <v>153</v>
      </c>
      <c r="W571" s="2" t="s">
        <v>193</v>
      </c>
      <c r="X571" s="23">
        <v>3</v>
      </c>
      <c r="Y571" s="23">
        <v>941</v>
      </c>
      <c r="Z571" s="23">
        <v>3051</v>
      </c>
      <c r="AA571" s="24">
        <v>0.308423467715503</v>
      </c>
      <c r="AB571" s="14" t="str">
        <f>VLOOKUP(flu_aw24[[#This Row],[trust_code]],trust_lookup[],3,0)</f>
        <v>Oxleas</v>
      </c>
      <c r="AD571" s="43">
        <v>45999</v>
      </c>
      <c r="AE571" s="2">
        <v>50</v>
      </c>
      <c r="AF571" s="2" t="s">
        <v>518</v>
      </c>
      <c r="AG571" s="2" t="s">
        <v>185</v>
      </c>
      <c r="AH571" s="2" t="s">
        <v>186</v>
      </c>
      <c r="AI571" s="2" t="s">
        <v>27</v>
      </c>
      <c r="AJ571" s="23">
        <v>80</v>
      </c>
      <c r="AK571" s="23">
        <v>1080</v>
      </c>
      <c r="AL571" s="23">
        <v>2969</v>
      </c>
      <c r="AM571" s="24">
        <v>0.363758841360727</v>
      </c>
      <c r="AN571" s="44" t="str">
        <f>VLOOKUP(flu_aw25[[#This Row],[trust_code]],trust_lookup[],3,0)</f>
        <v>Whittington</v>
      </c>
    </row>
    <row r="572" spans="11:40" x14ac:dyDescent="0.35">
      <c r="K572" s="2" t="s">
        <v>519</v>
      </c>
      <c r="L572" s="2" t="s">
        <v>136</v>
      </c>
      <c r="M572" s="2" t="s">
        <v>137</v>
      </c>
      <c r="N572" s="2" t="s">
        <v>27</v>
      </c>
      <c r="O572" s="2" t="s">
        <v>88</v>
      </c>
      <c r="P572" s="2">
        <v>9</v>
      </c>
      <c r="R572" s="43">
        <v>45691</v>
      </c>
      <c r="S572" s="2">
        <v>6</v>
      </c>
      <c r="T572" s="2" t="s">
        <v>519</v>
      </c>
      <c r="U572" s="2" t="s">
        <v>152</v>
      </c>
      <c r="V572" s="2" t="s">
        <v>153</v>
      </c>
      <c r="W572" s="2" t="s">
        <v>193</v>
      </c>
      <c r="X572" s="23">
        <v>5</v>
      </c>
      <c r="Y572" s="23">
        <v>946</v>
      </c>
      <c r="Z572" s="23">
        <v>3051</v>
      </c>
      <c r="AA572" s="24">
        <v>0.31006227466404401</v>
      </c>
      <c r="AB572" s="14" t="str">
        <f>VLOOKUP(flu_aw24[[#This Row],[trust_code]],trust_lookup[],3,0)</f>
        <v>Oxleas</v>
      </c>
      <c r="AD572" s="43">
        <v>46006</v>
      </c>
      <c r="AE572" s="2">
        <v>51</v>
      </c>
      <c r="AF572" s="2" t="s">
        <v>518</v>
      </c>
      <c r="AG572" s="2" t="s">
        <v>185</v>
      </c>
      <c r="AH572" s="2" t="s">
        <v>186</v>
      </c>
      <c r="AI572" s="2" t="s">
        <v>27</v>
      </c>
      <c r="AJ572" s="23">
        <v>39</v>
      </c>
      <c r="AK572" s="23">
        <v>1119</v>
      </c>
      <c r="AL572" s="23">
        <v>2969</v>
      </c>
      <c r="AM572" s="24">
        <v>0.37689457729875298</v>
      </c>
      <c r="AN572" s="44" t="str">
        <f>VLOOKUP(flu_aw25[[#This Row],[trust_code]],trust_lookup[],3,0)</f>
        <v>Whittington</v>
      </c>
    </row>
    <row r="573" spans="11:40" x14ac:dyDescent="0.35">
      <c r="K573" s="2" t="s">
        <v>519</v>
      </c>
      <c r="L573" s="2" t="s">
        <v>136</v>
      </c>
      <c r="M573" s="2" t="s">
        <v>137</v>
      </c>
      <c r="N573" s="2" t="s">
        <v>27</v>
      </c>
      <c r="O573" s="2" t="s">
        <v>141</v>
      </c>
      <c r="P573" s="2">
        <v>110</v>
      </c>
      <c r="R573" s="43">
        <v>45698</v>
      </c>
      <c r="S573" s="2">
        <v>7</v>
      </c>
      <c r="T573" s="2" t="s">
        <v>519</v>
      </c>
      <c r="U573" s="2" t="s">
        <v>152</v>
      </c>
      <c r="V573" s="2" t="s">
        <v>153</v>
      </c>
      <c r="W573" s="2" t="s">
        <v>193</v>
      </c>
      <c r="X573" s="23">
        <v>1</v>
      </c>
      <c r="Y573" s="23">
        <v>947</v>
      </c>
      <c r="Z573" s="23">
        <v>3051</v>
      </c>
      <c r="AA573" s="24">
        <v>0.31039003605375198</v>
      </c>
      <c r="AB573" s="14" t="str">
        <f>VLOOKUP(flu_aw24[[#This Row],[trust_code]],trust_lookup[],3,0)</f>
        <v>Oxleas</v>
      </c>
      <c r="AD573" s="43">
        <v>46013</v>
      </c>
      <c r="AE573" s="2">
        <v>52</v>
      </c>
      <c r="AF573" s="2" t="s">
        <v>518</v>
      </c>
      <c r="AG573" s="2" t="s">
        <v>185</v>
      </c>
      <c r="AH573" s="2" t="s">
        <v>186</v>
      </c>
      <c r="AI573" s="2" t="s">
        <v>27</v>
      </c>
      <c r="AJ573" s="23">
        <v>16</v>
      </c>
      <c r="AK573" s="23">
        <v>1135</v>
      </c>
      <c r="AL573" s="23">
        <v>2969</v>
      </c>
      <c r="AM573" s="24">
        <v>0.38228359717076399</v>
      </c>
      <c r="AN573" s="44" t="str">
        <f>VLOOKUP(flu_aw25[[#This Row],[trust_code]],trust_lookup[],3,0)</f>
        <v>Whittington</v>
      </c>
    </row>
    <row r="574" spans="11:40" x14ac:dyDescent="0.35">
      <c r="K574" s="2" t="s">
        <v>519</v>
      </c>
      <c r="L574" s="2" t="s">
        <v>136</v>
      </c>
      <c r="M574" s="2" t="s">
        <v>137</v>
      </c>
      <c r="N574" s="2" t="s">
        <v>27</v>
      </c>
      <c r="O574" s="2" t="s">
        <v>61</v>
      </c>
      <c r="P574" s="2">
        <v>19</v>
      </c>
      <c r="R574" s="43">
        <v>45705</v>
      </c>
      <c r="S574" s="2">
        <v>8</v>
      </c>
      <c r="T574" s="2" t="s">
        <v>519</v>
      </c>
      <c r="U574" s="2" t="s">
        <v>152</v>
      </c>
      <c r="V574" s="2" t="s">
        <v>153</v>
      </c>
      <c r="W574" s="2" t="s">
        <v>193</v>
      </c>
      <c r="X574" s="23">
        <v>1</v>
      </c>
      <c r="Y574" s="23">
        <v>948</v>
      </c>
      <c r="Z574" s="23">
        <v>3051</v>
      </c>
      <c r="AA574" s="24">
        <v>0.31071779744346101</v>
      </c>
      <c r="AB574" s="14" t="str">
        <f>VLOOKUP(flu_aw24[[#This Row],[trust_code]],trust_lookup[],3,0)</f>
        <v>Oxleas</v>
      </c>
      <c r="AD574" s="43">
        <v>46020</v>
      </c>
      <c r="AE574" s="2">
        <v>1</v>
      </c>
      <c r="AF574" s="2" t="s">
        <v>518</v>
      </c>
      <c r="AG574" s="2" t="s">
        <v>185</v>
      </c>
      <c r="AH574" s="2" t="s">
        <v>186</v>
      </c>
      <c r="AI574" s="2" t="s">
        <v>27</v>
      </c>
      <c r="AJ574" s="23">
        <v>2</v>
      </c>
      <c r="AK574" s="23">
        <v>1137</v>
      </c>
      <c r="AL574" s="23">
        <v>2969</v>
      </c>
      <c r="AM574" s="24">
        <v>0.382957224654765</v>
      </c>
      <c r="AN574" s="44" t="str">
        <f>VLOOKUP(flu_aw25[[#This Row],[trust_code]],trust_lookup[],3,0)</f>
        <v>Whittington</v>
      </c>
    </row>
    <row r="575" spans="11:40" x14ac:dyDescent="0.35">
      <c r="K575" s="2" t="s">
        <v>519</v>
      </c>
      <c r="L575" s="2" t="s">
        <v>136</v>
      </c>
      <c r="M575" s="2" t="s">
        <v>137</v>
      </c>
      <c r="N575" s="2" t="s">
        <v>27</v>
      </c>
      <c r="O575" s="2" t="s">
        <v>100</v>
      </c>
      <c r="P575" s="2">
        <v>74</v>
      </c>
      <c r="R575" s="43">
        <v>45712</v>
      </c>
      <c r="S575" s="2">
        <v>9</v>
      </c>
      <c r="T575" s="2" t="s">
        <v>519</v>
      </c>
      <c r="U575" s="2" t="s">
        <v>152</v>
      </c>
      <c r="V575" s="2" t="s">
        <v>153</v>
      </c>
      <c r="W575" s="2" t="s">
        <v>193</v>
      </c>
      <c r="X575" s="23">
        <v>2</v>
      </c>
      <c r="Y575" s="23">
        <v>950</v>
      </c>
      <c r="Z575" s="23">
        <v>3051</v>
      </c>
      <c r="AA575" s="24">
        <v>0.311373320222877</v>
      </c>
      <c r="AB575" s="14" t="str">
        <f>VLOOKUP(flu_aw24[[#This Row],[trust_code]],trust_lookup[],3,0)</f>
        <v>Oxleas</v>
      </c>
      <c r="AD575" s="43">
        <v>46027</v>
      </c>
      <c r="AE575" s="2">
        <v>2</v>
      </c>
      <c r="AF575" s="2" t="s">
        <v>518</v>
      </c>
      <c r="AG575" s="2" t="s">
        <v>185</v>
      </c>
      <c r="AH575" s="2" t="s">
        <v>186</v>
      </c>
      <c r="AI575" s="2" t="s">
        <v>27</v>
      </c>
      <c r="AJ575" s="23">
        <v>5</v>
      </c>
      <c r="AK575" s="23">
        <v>1142</v>
      </c>
      <c r="AL575" s="23">
        <v>2969</v>
      </c>
      <c r="AM575" s="24">
        <v>0.38464129336476899</v>
      </c>
      <c r="AN575" s="44" t="str">
        <f>VLOOKUP(flu_aw25[[#This Row],[trust_code]],trust_lookup[],3,0)</f>
        <v>Whittington</v>
      </c>
    </row>
    <row r="576" spans="11:40" x14ac:dyDescent="0.35">
      <c r="K576" s="2" t="s">
        <v>519</v>
      </c>
      <c r="L576" s="2" t="s">
        <v>136</v>
      </c>
      <c r="M576" s="2" t="s">
        <v>137</v>
      </c>
      <c r="N576" s="2" t="s">
        <v>27</v>
      </c>
      <c r="O576" s="2" t="s">
        <v>75</v>
      </c>
      <c r="P576" s="2">
        <v>22</v>
      </c>
      <c r="R576" s="43">
        <v>45719</v>
      </c>
      <c r="S576" s="2">
        <v>10</v>
      </c>
      <c r="T576" s="2" t="s">
        <v>519</v>
      </c>
      <c r="U576" s="2" t="s">
        <v>152</v>
      </c>
      <c r="V576" s="2" t="s">
        <v>153</v>
      </c>
      <c r="W576" s="2" t="s">
        <v>193</v>
      </c>
      <c r="X576" s="23">
        <v>1</v>
      </c>
      <c r="Y576" s="23">
        <v>951</v>
      </c>
      <c r="Z576" s="23">
        <v>3051</v>
      </c>
      <c r="AA576" s="24">
        <v>0.31170108161258597</v>
      </c>
      <c r="AB576" s="14" t="str">
        <f>VLOOKUP(flu_aw24[[#This Row],[trust_code]],trust_lookup[],3,0)</f>
        <v>Oxleas</v>
      </c>
      <c r="AD576" s="43">
        <v>46034</v>
      </c>
      <c r="AE576" s="2">
        <v>3</v>
      </c>
      <c r="AF576" s="2" t="s">
        <v>518</v>
      </c>
      <c r="AG576" s="2" t="s">
        <v>185</v>
      </c>
      <c r="AH576" s="2" t="s">
        <v>186</v>
      </c>
      <c r="AI576" s="2" t="s">
        <v>27</v>
      </c>
      <c r="AJ576" s="23">
        <v>10</v>
      </c>
      <c r="AK576" s="23">
        <v>1152</v>
      </c>
      <c r="AL576" s="23">
        <v>2969</v>
      </c>
      <c r="AM576" s="24">
        <v>0.38800943078477601</v>
      </c>
      <c r="AN576" s="44" t="str">
        <f>VLOOKUP(flu_aw25[[#This Row],[trust_code]],trust_lookup[],3,0)</f>
        <v>Whittington</v>
      </c>
    </row>
    <row r="577" spans="11:40" x14ac:dyDescent="0.35">
      <c r="K577" s="2" t="s">
        <v>519</v>
      </c>
      <c r="L577" s="2" t="s">
        <v>136</v>
      </c>
      <c r="M577" s="2" t="s">
        <v>137</v>
      </c>
      <c r="N577" s="2" t="s">
        <v>27</v>
      </c>
      <c r="O577" s="2" t="s">
        <v>106</v>
      </c>
      <c r="P577" s="2">
        <v>20</v>
      </c>
      <c r="R577" s="43">
        <v>45726</v>
      </c>
      <c r="S577" s="2">
        <v>11</v>
      </c>
      <c r="T577" s="2" t="s">
        <v>519</v>
      </c>
      <c r="U577" s="2" t="s">
        <v>152</v>
      </c>
      <c r="V577" s="2" t="s">
        <v>153</v>
      </c>
      <c r="W577" s="2" t="s">
        <v>193</v>
      </c>
      <c r="X577" s="23">
        <v>1</v>
      </c>
      <c r="Y577" s="23">
        <v>952</v>
      </c>
      <c r="Z577" s="23">
        <v>3051</v>
      </c>
      <c r="AA577" s="24">
        <v>0.312028843002294</v>
      </c>
      <c r="AB577" s="14" t="str">
        <f>VLOOKUP(flu_aw24[[#This Row],[trust_code]],trust_lookup[],3,0)</f>
        <v>Oxleas</v>
      </c>
      <c r="AD577" s="43">
        <v>46041</v>
      </c>
      <c r="AE577" s="2">
        <v>4</v>
      </c>
      <c r="AF577" s="2" t="s">
        <v>518</v>
      </c>
      <c r="AG577" s="2" t="s">
        <v>185</v>
      </c>
      <c r="AH577" s="2" t="s">
        <v>186</v>
      </c>
      <c r="AI577" s="2" t="s">
        <v>27</v>
      </c>
      <c r="AJ577" s="23">
        <v>13</v>
      </c>
      <c r="AK577" s="23">
        <v>1165</v>
      </c>
      <c r="AL577" s="23">
        <v>2969</v>
      </c>
      <c r="AM577" s="24">
        <v>0.392388009430784</v>
      </c>
      <c r="AN577" s="44" t="str">
        <f>VLOOKUP(flu_aw25[[#This Row],[trust_code]],trust_lookup[],3,0)</f>
        <v>Whittington</v>
      </c>
    </row>
    <row r="578" spans="11:40" x14ac:dyDescent="0.35">
      <c r="K578" s="2" t="s">
        <v>519</v>
      </c>
      <c r="L578" s="2" t="s">
        <v>136</v>
      </c>
      <c r="M578" s="2" t="s">
        <v>137</v>
      </c>
      <c r="N578" s="2" t="s">
        <v>27</v>
      </c>
      <c r="O578" s="2" t="s">
        <v>112</v>
      </c>
      <c r="P578" s="2">
        <v>82</v>
      </c>
      <c r="R578" s="43">
        <v>45733</v>
      </c>
      <c r="S578" s="2">
        <v>12</v>
      </c>
      <c r="T578" s="2" t="s">
        <v>519</v>
      </c>
      <c r="U578" s="2" t="s">
        <v>152</v>
      </c>
      <c r="V578" s="2" t="s">
        <v>153</v>
      </c>
      <c r="W578" s="2" t="s">
        <v>193</v>
      </c>
      <c r="X578" s="23">
        <v>1</v>
      </c>
      <c r="Y578" s="23">
        <v>953</v>
      </c>
      <c r="Z578" s="23">
        <v>3051</v>
      </c>
      <c r="AA578" s="24">
        <v>0.31235660439200202</v>
      </c>
      <c r="AB578" s="14" t="str">
        <f>VLOOKUP(flu_aw24[[#This Row],[trust_code]],trust_lookup[],3,0)</f>
        <v>Oxleas</v>
      </c>
      <c r="AD578" s="43">
        <v>46048</v>
      </c>
      <c r="AE578" s="2">
        <v>5</v>
      </c>
      <c r="AF578" s="2" t="s">
        <v>518</v>
      </c>
      <c r="AG578" s="2" t="s">
        <v>185</v>
      </c>
      <c r="AH578" s="2" t="s">
        <v>186</v>
      </c>
      <c r="AI578" s="2" t="s">
        <v>27</v>
      </c>
      <c r="AJ578" s="23">
        <v>5</v>
      </c>
      <c r="AK578" s="23">
        <v>1170</v>
      </c>
      <c r="AL578" s="23">
        <v>2969</v>
      </c>
      <c r="AM578" s="24">
        <v>0.39407207814078798</v>
      </c>
      <c r="AN578" s="44" t="str">
        <f>VLOOKUP(flu_aw25[[#This Row],[trust_code]],trust_lookup[],3,0)</f>
        <v>Whittington</v>
      </c>
    </row>
    <row r="579" spans="11:40" x14ac:dyDescent="0.35">
      <c r="K579" s="2" t="s">
        <v>519</v>
      </c>
      <c r="L579" s="2" t="s">
        <v>136</v>
      </c>
      <c r="M579" s="2" t="s">
        <v>137</v>
      </c>
      <c r="N579" s="2" t="s">
        <v>27</v>
      </c>
      <c r="O579" s="2" t="s">
        <v>36</v>
      </c>
      <c r="P579" s="2">
        <v>33</v>
      </c>
      <c r="R579" s="43">
        <v>45537</v>
      </c>
      <c r="S579" s="2">
        <v>36</v>
      </c>
      <c r="T579" s="2" t="s">
        <v>519</v>
      </c>
      <c r="U579" s="2" t="s">
        <v>157</v>
      </c>
      <c r="V579" s="2" t="s">
        <v>158</v>
      </c>
      <c r="W579" s="2" t="s">
        <v>27</v>
      </c>
      <c r="X579" s="23">
        <v>2</v>
      </c>
      <c r="Y579" s="23">
        <v>2</v>
      </c>
      <c r="Z579" s="23">
        <v>18776</v>
      </c>
      <c r="AA579" s="24">
        <v>1.06518960374946E-4</v>
      </c>
      <c r="AB579" s="14" t="str">
        <f>VLOOKUP(flu_aw24[[#This Row],[trust_code]],trust_lookup[],3,0)</f>
        <v>Royal Free</v>
      </c>
      <c r="AD579" s="43">
        <v>46055</v>
      </c>
      <c r="AE579" s="2">
        <v>6</v>
      </c>
      <c r="AF579" s="2" t="s">
        <v>518</v>
      </c>
      <c r="AG579" s="2" t="s">
        <v>185</v>
      </c>
      <c r="AH579" s="2" t="s">
        <v>186</v>
      </c>
      <c r="AI579" s="2" t="s">
        <v>27</v>
      </c>
      <c r="AJ579" s="23">
        <v>10</v>
      </c>
      <c r="AK579" s="23">
        <v>1180</v>
      </c>
      <c r="AL579" s="23">
        <v>2969</v>
      </c>
      <c r="AM579" s="24">
        <v>0.39744021556079401</v>
      </c>
      <c r="AN579" s="44" t="str">
        <f>VLOOKUP(flu_aw25[[#This Row],[trust_code]],trust_lookup[],3,0)</f>
        <v>Whittington</v>
      </c>
    </row>
    <row r="580" spans="11:40" x14ac:dyDescent="0.35">
      <c r="K580" s="2" t="s">
        <v>519</v>
      </c>
      <c r="L580" s="2" t="s">
        <v>147</v>
      </c>
      <c r="M580" s="2" t="s">
        <v>148</v>
      </c>
      <c r="N580" s="2" t="s">
        <v>27</v>
      </c>
      <c r="O580" s="2" t="s">
        <v>68</v>
      </c>
      <c r="P580" s="2">
        <v>498</v>
      </c>
      <c r="R580" s="43">
        <v>45544</v>
      </c>
      <c r="S580" s="2">
        <v>37</v>
      </c>
      <c r="T580" s="2" t="s">
        <v>519</v>
      </c>
      <c r="U580" s="2" t="s">
        <v>157</v>
      </c>
      <c r="V580" s="2" t="s">
        <v>158</v>
      </c>
      <c r="W580" s="2" t="s">
        <v>27</v>
      </c>
      <c r="X580" s="23">
        <v>4</v>
      </c>
      <c r="Y580" s="23">
        <v>6</v>
      </c>
      <c r="Z580" s="23">
        <v>18776</v>
      </c>
      <c r="AA580" s="24">
        <v>3.1955688112484E-4</v>
      </c>
      <c r="AB580" s="14" t="str">
        <f>VLOOKUP(flu_aw24[[#This Row],[trust_code]],trust_lookup[],3,0)</f>
        <v>Royal Free</v>
      </c>
      <c r="AD580" s="43">
        <v>46062</v>
      </c>
      <c r="AE580" s="2">
        <v>7</v>
      </c>
      <c r="AF580" s="2" t="s">
        <v>518</v>
      </c>
      <c r="AG580" s="2" t="s">
        <v>185</v>
      </c>
      <c r="AH580" s="2" t="s">
        <v>186</v>
      </c>
      <c r="AI580" s="2" t="s">
        <v>27</v>
      </c>
      <c r="AJ580" s="23">
        <v>1</v>
      </c>
      <c r="AK580" s="23">
        <v>1181</v>
      </c>
      <c r="AL580" s="23">
        <v>2969</v>
      </c>
      <c r="AM580" s="24">
        <v>0.39777702930279502</v>
      </c>
      <c r="AN580" s="44" t="str">
        <f>VLOOKUP(flu_aw25[[#This Row],[trust_code]],trust_lookup[],3,0)</f>
        <v>Whittington</v>
      </c>
    </row>
    <row r="581" spans="11:40" x14ac:dyDescent="0.35">
      <c r="K581" s="2" t="s">
        <v>519</v>
      </c>
      <c r="L581" s="2" t="s">
        <v>147</v>
      </c>
      <c r="M581" s="2" t="s">
        <v>148</v>
      </c>
      <c r="N581" s="2" t="s">
        <v>27</v>
      </c>
      <c r="O581" s="2" t="s">
        <v>135</v>
      </c>
      <c r="P581" s="2">
        <v>27</v>
      </c>
      <c r="R581" s="43">
        <v>45551</v>
      </c>
      <c r="S581" s="2">
        <v>38</v>
      </c>
      <c r="T581" s="2" t="s">
        <v>519</v>
      </c>
      <c r="U581" s="2" t="s">
        <v>157</v>
      </c>
      <c r="V581" s="2" t="s">
        <v>158</v>
      </c>
      <c r="W581" s="2" t="s">
        <v>27</v>
      </c>
      <c r="X581" s="23">
        <v>28</v>
      </c>
      <c r="Y581" s="23">
        <v>34</v>
      </c>
      <c r="Z581" s="23">
        <v>18776</v>
      </c>
      <c r="AA581" s="24">
        <v>1.81082232637409E-3</v>
      </c>
      <c r="AB581" s="14" t="str">
        <f>VLOOKUP(flu_aw24[[#This Row],[trust_code]],trust_lookup[],3,0)</f>
        <v>Royal Free</v>
      </c>
      <c r="AD581" s="43">
        <v>46069</v>
      </c>
      <c r="AE581" s="2">
        <v>8</v>
      </c>
      <c r="AF581" s="2" t="s">
        <v>518</v>
      </c>
      <c r="AG581" s="2" t="s">
        <v>185</v>
      </c>
      <c r="AH581" s="2" t="s">
        <v>186</v>
      </c>
      <c r="AI581" s="2" t="s">
        <v>27</v>
      </c>
      <c r="AJ581" s="23">
        <v>2</v>
      </c>
      <c r="AK581" s="23">
        <v>1183</v>
      </c>
      <c r="AL581" s="23">
        <v>2969</v>
      </c>
      <c r="AM581" s="24">
        <v>0.39845065678679598</v>
      </c>
      <c r="AN581" s="44" t="str">
        <f>VLOOKUP(flu_aw25[[#This Row],[trust_code]],trust_lookup[],3,0)</f>
        <v>Whittington</v>
      </c>
    </row>
    <row r="582" spans="11:40" x14ac:dyDescent="0.35">
      <c r="K582" s="2" t="s">
        <v>519</v>
      </c>
      <c r="L582" s="2" t="s">
        <v>147</v>
      </c>
      <c r="M582" s="2" t="s">
        <v>148</v>
      </c>
      <c r="N582" s="2" t="s">
        <v>27</v>
      </c>
      <c r="O582" s="2" t="s">
        <v>54</v>
      </c>
      <c r="P582" s="2">
        <v>149</v>
      </c>
      <c r="R582" s="43">
        <v>45558</v>
      </c>
      <c r="S582" s="2">
        <v>39</v>
      </c>
      <c r="T582" s="2" t="s">
        <v>519</v>
      </c>
      <c r="U582" s="2" t="s">
        <v>157</v>
      </c>
      <c r="V582" s="2" t="s">
        <v>158</v>
      </c>
      <c r="W582" s="2" t="s">
        <v>27</v>
      </c>
      <c r="X582" s="23">
        <v>39</v>
      </c>
      <c r="Y582" s="23">
        <v>73</v>
      </c>
      <c r="Z582" s="23">
        <v>18776</v>
      </c>
      <c r="AA582" s="24">
        <v>3.8879420536855501E-3</v>
      </c>
      <c r="AB582" s="14" t="str">
        <f>VLOOKUP(flu_aw24[[#This Row],[trust_code]],trust_lookup[],3,0)</f>
        <v>Royal Free</v>
      </c>
      <c r="AD582" s="43">
        <v>46076</v>
      </c>
      <c r="AE582" s="2">
        <v>9</v>
      </c>
      <c r="AF582" s="2" t="s">
        <v>518</v>
      </c>
      <c r="AG582" s="2" t="s">
        <v>185</v>
      </c>
      <c r="AH582" s="2" t="s">
        <v>186</v>
      </c>
      <c r="AI582" s="2" t="s">
        <v>27</v>
      </c>
      <c r="AJ582" s="23">
        <v>2</v>
      </c>
      <c r="AK582" s="23">
        <v>1185</v>
      </c>
      <c r="AL582" s="23">
        <v>2969</v>
      </c>
      <c r="AM582" s="24">
        <v>0.39912428427079799</v>
      </c>
      <c r="AN582" s="44" t="str">
        <f>VLOOKUP(flu_aw25[[#This Row],[trust_code]],trust_lookup[],3,0)</f>
        <v>Whittington</v>
      </c>
    </row>
    <row r="583" spans="11:40" x14ac:dyDescent="0.35">
      <c r="K583" s="2" t="s">
        <v>519</v>
      </c>
      <c r="L583" s="2" t="s">
        <v>147</v>
      </c>
      <c r="M583" s="2" t="s">
        <v>148</v>
      </c>
      <c r="N583" s="2" t="s">
        <v>27</v>
      </c>
      <c r="O583" s="2" t="s">
        <v>129</v>
      </c>
      <c r="P583" s="2">
        <v>8</v>
      </c>
      <c r="R583" s="43">
        <v>45565</v>
      </c>
      <c r="S583" s="2">
        <v>40</v>
      </c>
      <c r="T583" s="2" t="s">
        <v>519</v>
      </c>
      <c r="U583" s="2" t="s">
        <v>157</v>
      </c>
      <c r="V583" s="2" t="s">
        <v>158</v>
      </c>
      <c r="W583" s="2" t="s">
        <v>27</v>
      </c>
      <c r="X583" s="23">
        <v>342</v>
      </c>
      <c r="Y583" s="23">
        <v>415</v>
      </c>
      <c r="Z583" s="23">
        <v>18776</v>
      </c>
      <c r="AA583" s="24">
        <v>2.2102684277801401E-2</v>
      </c>
      <c r="AB583" s="14" t="str">
        <f>VLOOKUP(flu_aw24[[#This Row],[trust_code]],trust_lookup[],3,0)</f>
        <v>Royal Free</v>
      </c>
      <c r="AD583" s="43">
        <v>45929</v>
      </c>
      <c r="AE583" s="2">
        <v>40</v>
      </c>
      <c r="AF583" s="2" t="s">
        <v>518</v>
      </c>
      <c r="AG583" s="2" t="s">
        <v>76</v>
      </c>
      <c r="AH583" s="2" t="s">
        <v>77</v>
      </c>
      <c r="AI583" s="2" t="s">
        <v>194</v>
      </c>
      <c r="AJ583" s="23">
        <v>316</v>
      </c>
      <c r="AK583" s="23">
        <v>316</v>
      </c>
      <c r="AL583" s="23">
        <v>5931</v>
      </c>
      <c r="AM583" s="24">
        <v>5.3279379531276302E-2</v>
      </c>
      <c r="AN583" s="44" t="str">
        <f>VLOOKUP(flu_aw25[[#This Row],[trust_code]],trust_lookup[],3,0)</f>
        <v>Epsom</v>
      </c>
    </row>
    <row r="584" spans="11:40" x14ac:dyDescent="0.35">
      <c r="K584" s="2" t="s">
        <v>519</v>
      </c>
      <c r="L584" s="2" t="s">
        <v>147</v>
      </c>
      <c r="M584" s="2" t="s">
        <v>148</v>
      </c>
      <c r="N584" s="2" t="s">
        <v>27</v>
      </c>
      <c r="O584" s="2" t="s">
        <v>47</v>
      </c>
      <c r="P584" s="2">
        <v>6</v>
      </c>
      <c r="R584" s="43">
        <v>45572</v>
      </c>
      <c r="S584" s="2">
        <v>41</v>
      </c>
      <c r="T584" s="2" t="s">
        <v>519</v>
      </c>
      <c r="U584" s="2" t="s">
        <v>157</v>
      </c>
      <c r="V584" s="2" t="s">
        <v>158</v>
      </c>
      <c r="W584" s="2" t="s">
        <v>27</v>
      </c>
      <c r="X584" s="23">
        <v>832</v>
      </c>
      <c r="Y584" s="23">
        <v>1247</v>
      </c>
      <c r="Z584" s="23">
        <v>18776</v>
      </c>
      <c r="AA584" s="24">
        <v>6.6414571793779298E-2</v>
      </c>
      <c r="AB584" s="14" t="str">
        <f>VLOOKUP(flu_aw24[[#This Row],[trust_code]],trust_lookup[],3,0)</f>
        <v>Royal Free</v>
      </c>
      <c r="AD584" s="43">
        <v>45936</v>
      </c>
      <c r="AE584" s="2">
        <v>41</v>
      </c>
      <c r="AF584" s="2" t="s">
        <v>518</v>
      </c>
      <c r="AG584" s="2" t="s">
        <v>76</v>
      </c>
      <c r="AH584" s="2" t="s">
        <v>77</v>
      </c>
      <c r="AI584" s="2" t="s">
        <v>194</v>
      </c>
      <c r="AJ584" s="23">
        <v>421</v>
      </c>
      <c r="AK584" s="23">
        <v>737</v>
      </c>
      <c r="AL584" s="23">
        <v>5931</v>
      </c>
      <c r="AM584" s="24">
        <v>0.12426235036250199</v>
      </c>
      <c r="AN584" s="44" t="str">
        <f>VLOOKUP(flu_aw25[[#This Row],[trust_code]],trust_lookup[],3,0)</f>
        <v>Epsom</v>
      </c>
    </row>
    <row r="585" spans="11:40" x14ac:dyDescent="0.35">
      <c r="K585" s="2" t="s">
        <v>519</v>
      </c>
      <c r="L585" s="2" t="s">
        <v>147</v>
      </c>
      <c r="M585" s="2" t="s">
        <v>148</v>
      </c>
      <c r="N585" s="2" t="s">
        <v>27</v>
      </c>
      <c r="O585" s="2" t="s">
        <v>94</v>
      </c>
      <c r="P585" s="2">
        <v>14</v>
      </c>
      <c r="R585" s="43">
        <v>45579</v>
      </c>
      <c r="S585" s="2">
        <v>42</v>
      </c>
      <c r="T585" s="2" t="s">
        <v>519</v>
      </c>
      <c r="U585" s="2" t="s">
        <v>157</v>
      </c>
      <c r="V585" s="2" t="s">
        <v>158</v>
      </c>
      <c r="W585" s="2" t="s">
        <v>27</v>
      </c>
      <c r="X585" s="23">
        <v>838</v>
      </c>
      <c r="Y585" s="23">
        <v>2085</v>
      </c>
      <c r="Z585" s="23">
        <v>18776</v>
      </c>
      <c r="AA585" s="24">
        <v>0.111046016190881</v>
      </c>
      <c r="AB585" s="14" t="str">
        <f>VLOOKUP(flu_aw24[[#This Row],[trust_code]],trust_lookup[],3,0)</f>
        <v>Royal Free</v>
      </c>
      <c r="AD585" s="43">
        <v>45943</v>
      </c>
      <c r="AE585" s="2">
        <v>42</v>
      </c>
      <c r="AF585" s="2" t="s">
        <v>518</v>
      </c>
      <c r="AG585" s="2" t="s">
        <v>76</v>
      </c>
      <c r="AH585" s="2" t="s">
        <v>77</v>
      </c>
      <c r="AI585" s="2" t="s">
        <v>194</v>
      </c>
      <c r="AJ585" s="23">
        <v>280</v>
      </c>
      <c r="AK585" s="23">
        <v>1017</v>
      </c>
      <c r="AL585" s="23">
        <v>5931</v>
      </c>
      <c r="AM585" s="24">
        <v>0.171471927162367</v>
      </c>
      <c r="AN585" s="44" t="str">
        <f>VLOOKUP(flu_aw25[[#This Row],[trust_code]],trust_lookup[],3,0)</f>
        <v>Epsom</v>
      </c>
    </row>
    <row r="586" spans="11:40" x14ac:dyDescent="0.35">
      <c r="K586" s="2" t="s">
        <v>519</v>
      </c>
      <c r="L586" s="2" t="s">
        <v>147</v>
      </c>
      <c r="M586" s="2" t="s">
        <v>148</v>
      </c>
      <c r="N586" s="2" t="s">
        <v>27</v>
      </c>
      <c r="O586" s="2" t="s">
        <v>29</v>
      </c>
      <c r="P586" s="2">
        <v>23</v>
      </c>
      <c r="R586" s="43">
        <v>45586</v>
      </c>
      <c r="S586" s="2">
        <v>43</v>
      </c>
      <c r="T586" s="2" t="s">
        <v>519</v>
      </c>
      <c r="U586" s="2" t="s">
        <v>157</v>
      </c>
      <c r="V586" s="2" t="s">
        <v>158</v>
      </c>
      <c r="W586" s="2" t="s">
        <v>27</v>
      </c>
      <c r="X586" s="23">
        <v>850</v>
      </c>
      <c r="Y586" s="23">
        <v>2935</v>
      </c>
      <c r="Z586" s="23">
        <v>18776</v>
      </c>
      <c r="AA586" s="24">
        <v>0.15631657435023399</v>
      </c>
      <c r="AB586" s="14" t="str">
        <f>VLOOKUP(flu_aw24[[#This Row],[trust_code]],trust_lookup[],3,0)</f>
        <v>Royal Free</v>
      </c>
      <c r="AD586" s="43">
        <v>45950</v>
      </c>
      <c r="AE586" s="2">
        <v>43</v>
      </c>
      <c r="AF586" s="2" t="s">
        <v>518</v>
      </c>
      <c r="AG586" s="2" t="s">
        <v>76</v>
      </c>
      <c r="AH586" s="2" t="s">
        <v>77</v>
      </c>
      <c r="AI586" s="2" t="s">
        <v>194</v>
      </c>
      <c r="AJ586" s="23">
        <v>307</v>
      </c>
      <c r="AK586" s="23">
        <v>1324</v>
      </c>
      <c r="AL586" s="23">
        <v>5931</v>
      </c>
      <c r="AM586" s="24">
        <v>0.22323385601078999</v>
      </c>
      <c r="AN586" s="44" t="str">
        <f>VLOOKUP(flu_aw25[[#This Row],[trust_code]],trust_lookup[],3,0)</f>
        <v>Epsom</v>
      </c>
    </row>
    <row r="587" spans="11:40" x14ac:dyDescent="0.35">
      <c r="K587" s="2" t="s">
        <v>519</v>
      </c>
      <c r="L587" s="2" t="s">
        <v>147</v>
      </c>
      <c r="M587" s="2" t="s">
        <v>148</v>
      </c>
      <c r="N587" s="2" t="s">
        <v>27</v>
      </c>
      <c r="O587" s="2" t="s">
        <v>123</v>
      </c>
      <c r="P587" s="2">
        <v>54</v>
      </c>
      <c r="R587" s="43">
        <v>45593</v>
      </c>
      <c r="S587" s="2">
        <v>44</v>
      </c>
      <c r="T587" s="2" t="s">
        <v>519</v>
      </c>
      <c r="U587" s="2" t="s">
        <v>157</v>
      </c>
      <c r="V587" s="2" t="s">
        <v>158</v>
      </c>
      <c r="W587" s="2" t="s">
        <v>27</v>
      </c>
      <c r="X587" s="23">
        <v>553</v>
      </c>
      <c r="Y587" s="23">
        <v>3488</v>
      </c>
      <c r="Z587" s="23">
        <v>18776</v>
      </c>
      <c r="AA587" s="24">
        <v>0.18576906689390699</v>
      </c>
      <c r="AB587" s="14" t="str">
        <f>VLOOKUP(flu_aw24[[#This Row],[trust_code]],trust_lookup[],3,0)</f>
        <v>Royal Free</v>
      </c>
      <c r="AD587" s="43">
        <v>45957</v>
      </c>
      <c r="AE587" s="2">
        <v>44</v>
      </c>
      <c r="AF587" s="2" t="s">
        <v>518</v>
      </c>
      <c r="AG587" s="2" t="s">
        <v>76</v>
      </c>
      <c r="AH587" s="2" t="s">
        <v>77</v>
      </c>
      <c r="AI587" s="2" t="s">
        <v>194</v>
      </c>
      <c r="AJ587" s="23">
        <v>204</v>
      </c>
      <c r="AK587" s="23">
        <v>1528</v>
      </c>
      <c r="AL587" s="23">
        <v>5931</v>
      </c>
      <c r="AM587" s="24">
        <v>0.25762940482212099</v>
      </c>
      <c r="AN587" s="44" t="str">
        <f>VLOOKUP(flu_aw25[[#This Row],[trust_code]],trust_lookup[],3,0)</f>
        <v>Epsom</v>
      </c>
    </row>
    <row r="588" spans="11:40" x14ac:dyDescent="0.35">
      <c r="K588" s="2" t="s">
        <v>519</v>
      </c>
      <c r="L588" s="2" t="s">
        <v>147</v>
      </c>
      <c r="M588" s="2" t="s">
        <v>148</v>
      </c>
      <c r="N588" s="2" t="s">
        <v>27</v>
      </c>
      <c r="O588" s="2" t="s">
        <v>82</v>
      </c>
      <c r="P588" s="2">
        <v>8</v>
      </c>
      <c r="R588" s="43">
        <v>45600</v>
      </c>
      <c r="S588" s="2">
        <v>45</v>
      </c>
      <c r="T588" s="2" t="s">
        <v>519</v>
      </c>
      <c r="U588" s="2" t="s">
        <v>157</v>
      </c>
      <c r="V588" s="2" t="s">
        <v>158</v>
      </c>
      <c r="W588" s="2" t="s">
        <v>27</v>
      </c>
      <c r="X588" s="23">
        <v>535</v>
      </c>
      <c r="Y588" s="23">
        <v>4023</v>
      </c>
      <c r="Z588" s="23">
        <v>18776</v>
      </c>
      <c r="AA588" s="24">
        <v>0.21426288879420499</v>
      </c>
      <c r="AB588" s="14" t="str">
        <f>VLOOKUP(flu_aw24[[#This Row],[trust_code]],trust_lookup[],3,0)</f>
        <v>Royal Free</v>
      </c>
      <c r="AD588" s="43">
        <v>45964</v>
      </c>
      <c r="AE588" s="2">
        <v>45</v>
      </c>
      <c r="AF588" s="2" t="s">
        <v>518</v>
      </c>
      <c r="AG588" s="2" t="s">
        <v>76</v>
      </c>
      <c r="AH588" s="2" t="s">
        <v>77</v>
      </c>
      <c r="AI588" s="2" t="s">
        <v>194</v>
      </c>
      <c r="AJ588" s="23">
        <v>173</v>
      </c>
      <c r="AK588" s="23">
        <v>1701</v>
      </c>
      <c r="AL588" s="23">
        <v>5931</v>
      </c>
      <c r="AM588" s="24">
        <v>0.28679817905917998</v>
      </c>
      <c r="AN588" s="44" t="str">
        <f>VLOOKUP(flu_aw25[[#This Row],[trust_code]],trust_lookup[],3,0)</f>
        <v>Epsom</v>
      </c>
    </row>
    <row r="589" spans="11:40" x14ac:dyDescent="0.35">
      <c r="K589" s="2" t="s">
        <v>519</v>
      </c>
      <c r="L589" s="2" t="s">
        <v>147</v>
      </c>
      <c r="M589" s="2" t="s">
        <v>148</v>
      </c>
      <c r="N589" s="2" t="s">
        <v>27</v>
      </c>
      <c r="O589" s="2" t="s">
        <v>88</v>
      </c>
      <c r="P589" s="2">
        <v>9</v>
      </c>
      <c r="R589" s="43">
        <v>45607</v>
      </c>
      <c r="S589" s="2">
        <v>46</v>
      </c>
      <c r="T589" s="2" t="s">
        <v>519</v>
      </c>
      <c r="U589" s="2" t="s">
        <v>157</v>
      </c>
      <c r="V589" s="2" t="s">
        <v>158</v>
      </c>
      <c r="W589" s="2" t="s">
        <v>27</v>
      </c>
      <c r="X589" s="23">
        <v>427</v>
      </c>
      <c r="Y589" s="23">
        <v>4450</v>
      </c>
      <c r="Z589" s="23">
        <v>18776</v>
      </c>
      <c r="AA589" s="24">
        <v>0.23700468683425599</v>
      </c>
      <c r="AB589" s="14" t="str">
        <f>VLOOKUP(flu_aw24[[#This Row],[trust_code]],trust_lookup[],3,0)</f>
        <v>Royal Free</v>
      </c>
      <c r="AD589" s="43">
        <v>45971</v>
      </c>
      <c r="AE589" s="2">
        <v>46</v>
      </c>
      <c r="AF589" s="2" t="s">
        <v>518</v>
      </c>
      <c r="AG589" s="2" t="s">
        <v>76</v>
      </c>
      <c r="AH589" s="2" t="s">
        <v>77</v>
      </c>
      <c r="AI589" s="2" t="s">
        <v>194</v>
      </c>
      <c r="AJ589" s="23">
        <v>190</v>
      </c>
      <c r="AK589" s="23">
        <v>1891</v>
      </c>
      <c r="AL589" s="23">
        <v>5931</v>
      </c>
      <c r="AM589" s="24">
        <v>0.31883324903051702</v>
      </c>
      <c r="AN589" s="44" t="str">
        <f>VLOOKUP(flu_aw25[[#This Row],[trust_code]],trust_lookup[],3,0)</f>
        <v>Epsom</v>
      </c>
    </row>
    <row r="590" spans="11:40" x14ac:dyDescent="0.35">
      <c r="K590" s="2" t="s">
        <v>519</v>
      </c>
      <c r="L590" s="2" t="s">
        <v>147</v>
      </c>
      <c r="M590" s="2" t="s">
        <v>148</v>
      </c>
      <c r="N590" s="2" t="s">
        <v>27</v>
      </c>
      <c r="O590" s="2" t="s">
        <v>141</v>
      </c>
      <c r="P590" s="2">
        <v>60</v>
      </c>
      <c r="R590" s="43">
        <v>45614</v>
      </c>
      <c r="S590" s="2">
        <v>47</v>
      </c>
      <c r="T590" s="2" t="s">
        <v>519</v>
      </c>
      <c r="U590" s="2" t="s">
        <v>157</v>
      </c>
      <c r="V590" s="2" t="s">
        <v>158</v>
      </c>
      <c r="W590" s="2" t="s">
        <v>27</v>
      </c>
      <c r="X590" s="23">
        <v>253</v>
      </c>
      <c r="Y590" s="23">
        <v>4703</v>
      </c>
      <c r="Z590" s="23">
        <v>18776</v>
      </c>
      <c r="AA590" s="24">
        <v>0.25047933532168698</v>
      </c>
      <c r="AB590" s="14" t="str">
        <f>VLOOKUP(flu_aw24[[#This Row],[trust_code]],trust_lookup[],3,0)</f>
        <v>Royal Free</v>
      </c>
      <c r="AD590" s="43">
        <v>45978</v>
      </c>
      <c r="AE590" s="2">
        <v>47</v>
      </c>
      <c r="AF590" s="2" t="s">
        <v>518</v>
      </c>
      <c r="AG590" s="2" t="s">
        <v>76</v>
      </c>
      <c r="AH590" s="2" t="s">
        <v>77</v>
      </c>
      <c r="AI590" s="2" t="s">
        <v>194</v>
      </c>
      <c r="AJ590" s="23">
        <v>146</v>
      </c>
      <c r="AK590" s="23">
        <v>2037</v>
      </c>
      <c r="AL590" s="23">
        <v>5931</v>
      </c>
      <c r="AM590" s="24">
        <v>0.34344967121901798</v>
      </c>
      <c r="AN590" s="44" t="str">
        <f>VLOOKUP(flu_aw25[[#This Row],[trust_code]],trust_lookup[],3,0)</f>
        <v>Epsom</v>
      </c>
    </row>
    <row r="591" spans="11:40" x14ac:dyDescent="0.35">
      <c r="K591" s="2" t="s">
        <v>519</v>
      </c>
      <c r="L591" s="2" t="s">
        <v>147</v>
      </c>
      <c r="M591" s="2" t="s">
        <v>148</v>
      </c>
      <c r="N591" s="2" t="s">
        <v>27</v>
      </c>
      <c r="O591" s="2" t="s">
        <v>61</v>
      </c>
      <c r="P591" s="2">
        <v>13</v>
      </c>
      <c r="R591" s="43">
        <v>45621</v>
      </c>
      <c r="S591" s="2">
        <v>48</v>
      </c>
      <c r="T591" s="2" t="s">
        <v>519</v>
      </c>
      <c r="U591" s="2" t="s">
        <v>157</v>
      </c>
      <c r="V591" s="2" t="s">
        <v>158</v>
      </c>
      <c r="W591" s="2" t="s">
        <v>27</v>
      </c>
      <c r="X591" s="23">
        <v>258</v>
      </c>
      <c r="Y591" s="23">
        <v>4961</v>
      </c>
      <c r="Z591" s="23">
        <v>18776</v>
      </c>
      <c r="AA591" s="24">
        <v>0.26422028121005497</v>
      </c>
      <c r="AB591" s="14" t="str">
        <f>VLOOKUP(flu_aw24[[#This Row],[trust_code]],trust_lookup[],3,0)</f>
        <v>Royal Free</v>
      </c>
      <c r="AD591" s="43">
        <v>45985</v>
      </c>
      <c r="AE591" s="2">
        <v>48</v>
      </c>
      <c r="AF591" s="2" t="s">
        <v>518</v>
      </c>
      <c r="AG591" s="2" t="s">
        <v>76</v>
      </c>
      <c r="AH591" s="2" t="s">
        <v>77</v>
      </c>
      <c r="AI591" s="2" t="s">
        <v>194</v>
      </c>
      <c r="AJ591" s="23">
        <v>149</v>
      </c>
      <c r="AK591" s="23">
        <v>2186</v>
      </c>
      <c r="AL591" s="23">
        <v>5931</v>
      </c>
      <c r="AM591" s="24">
        <v>0.36857191030180397</v>
      </c>
      <c r="AN591" s="44" t="str">
        <f>VLOOKUP(flu_aw25[[#This Row],[trust_code]],trust_lookup[],3,0)</f>
        <v>Epsom</v>
      </c>
    </row>
    <row r="592" spans="11:40" x14ac:dyDescent="0.35">
      <c r="K592" s="2" t="s">
        <v>519</v>
      </c>
      <c r="L592" s="2" t="s">
        <v>147</v>
      </c>
      <c r="M592" s="2" t="s">
        <v>148</v>
      </c>
      <c r="N592" s="2" t="s">
        <v>27</v>
      </c>
      <c r="O592" s="2" t="s">
        <v>100</v>
      </c>
      <c r="P592" s="2">
        <v>195</v>
      </c>
      <c r="R592" s="43">
        <v>45628</v>
      </c>
      <c r="S592" s="2">
        <v>49</v>
      </c>
      <c r="T592" s="2" t="s">
        <v>519</v>
      </c>
      <c r="U592" s="2" t="s">
        <v>157</v>
      </c>
      <c r="V592" s="2" t="s">
        <v>158</v>
      </c>
      <c r="W592" s="2" t="s">
        <v>27</v>
      </c>
      <c r="X592" s="23">
        <v>134</v>
      </c>
      <c r="Y592" s="23">
        <v>5095</v>
      </c>
      <c r="Z592" s="23">
        <v>18776</v>
      </c>
      <c r="AA592" s="24">
        <v>0.27135705155517598</v>
      </c>
      <c r="AB592" s="14" t="str">
        <f>VLOOKUP(flu_aw24[[#This Row],[trust_code]],trust_lookup[],3,0)</f>
        <v>Royal Free</v>
      </c>
      <c r="AD592" s="43">
        <v>45992</v>
      </c>
      <c r="AE592" s="2">
        <v>49</v>
      </c>
      <c r="AF592" s="2" t="s">
        <v>518</v>
      </c>
      <c r="AG592" s="2" t="s">
        <v>76</v>
      </c>
      <c r="AH592" s="2" t="s">
        <v>77</v>
      </c>
      <c r="AI592" s="2" t="s">
        <v>194</v>
      </c>
      <c r="AJ592" s="23">
        <v>81</v>
      </c>
      <c r="AK592" s="23">
        <v>2267</v>
      </c>
      <c r="AL592" s="23">
        <v>5931</v>
      </c>
      <c r="AM592" s="24">
        <v>0.382228966447479</v>
      </c>
      <c r="AN592" s="44" t="str">
        <f>VLOOKUP(flu_aw25[[#This Row],[trust_code]],trust_lookup[],3,0)</f>
        <v>Epsom</v>
      </c>
    </row>
    <row r="593" spans="11:40" x14ac:dyDescent="0.35">
      <c r="K593" s="2" t="s">
        <v>519</v>
      </c>
      <c r="L593" s="2" t="s">
        <v>147</v>
      </c>
      <c r="M593" s="2" t="s">
        <v>148</v>
      </c>
      <c r="N593" s="2" t="s">
        <v>27</v>
      </c>
      <c r="O593" s="2" t="s">
        <v>75</v>
      </c>
      <c r="P593" s="2">
        <v>43</v>
      </c>
      <c r="R593" s="43">
        <v>45635</v>
      </c>
      <c r="S593" s="2">
        <v>50</v>
      </c>
      <c r="T593" s="2" t="s">
        <v>519</v>
      </c>
      <c r="U593" s="2" t="s">
        <v>157</v>
      </c>
      <c r="V593" s="2" t="s">
        <v>158</v>
      </c>
      <c r="W593" s="2" t="s">
        <v>27</v>
      </c>
      <c r="X593" s="23">
        <v>119</v>
      </c>
      <c r="Y593" s="23">
        <v>5214</v>
      </c>
      <c r="Z593" s="23">
        <v>18776</v>
      </c>
      <c r="AA593" s="24">
        <v>0.27769492969748599</v>
      </c>
      <c r="AB593" s="14" t="str">
        <f>VLOOKUP(flu_aw24[[#This Row],[trust_code]],trust_lookup[],3,0)</f>
        <v>Royal Free</v>
      </c>
      <c r="AD593" s="43">
        <v>45999</v>
      </c>
      <c r="AE593" s="2">
        <v>50</v>
      </c>
      <c r="AF593" s="2" t="s">
        <v>518</v>
      </c>
      <c r="AG593" s="2" t="s">
        <v>76</v>
      </c>
      <c r="AH593" s="2" t="s">
        <v>77</v>
      </c>
      <c r="AI593" s="2" t="s">
        <v>194</v>
      </c>
      <c r="AJ593" s="23">
        <v>159</v>
      </c>
      <c r="AK593" s="23">
        <v>2426</v>
      </c>
      <c r="AL593" s="23">
        <v>5931</v>
      </c>
      <c r="AM593" s="24">
        <v>0.40903726184454497</v>
      </c>
      <c r="AN593" s="44" t="str">
        <f>VLOOKUP(flu_aw25[[#This Row],[trust_code]],trust_lookup[],3,0)</f>
        <v>Epsom</v>
      </c>
    </row>
    <row r="594" spans="11:40" x14ac:dyDescent="0.35">
      <c r="K594" s="2" t="s">
        <v>519</v>
      </c>
      <c r="L594" s="2" t="s">
        <v>147</v>
      </c>
      <c r="M594" s="2" t="s">
        <v>148</v>
      </c>
      <c r="N594" s="2" t="s">
        <v>27</v>
      </c>
      <c r="O594" s="2" t="s">
        <v>106</v>
      </c>
      <c r="P594" s="2">
        <v>15</v>
      </c>
      <c r="R594" s="43">
        <v>45642</v>
      </c>
      <c r="S594" s="2">
        <v>51</v>
      </c>
      <c r="T594" s="2" t="s">
        <v>519</v>
      </c>
      <c r="U594" s="2" t="s">
        <v>157</v>
      </c>
      <c r="V594" s="2" t="s">
        <v>158</v>
      </c>
      <c r="W594" s="2" t="s">
        <v>27</v>
      </c>
      <c r="X594" s="23">
        <v>128</v>
      </c>
      <c r="Y594" s="23">
        <v>5342</v>
      </c>
      <c r="Z594" s="23">
        <v>18776</v>
      </c>
      <c r="AA594" s="24">
        <v>0.28451214316148199</v>
      </c>
      <c r="AB594" s="14" t="str">
        <f>VLOOKUP(flu_aw24[[#This Row],[trust_code]],trust_lookup[],3,0)</f>
        <v>Royal Free</v>
      </c>
      <c r="AD594" s="43">
        <v>46006</v>
      </c>
      <c r="AE594" s="2">
        <v>51</v>
      </c>
      <c r="AF594" s="2" t="s">
        <v>518</v>
      </c>
      <c r="AG594" s="2" t="s">
        <v>76</v>
      </c>
      <c r="AH594" s="2" t="s">
        <v>77</v>
      </c>
      <c r="AI594" s="2" t="s">
        <v>194</v>
      </c>
      <c r="AJ594" s="23">
        <v>82</v>
      </c>
      <c r="AK594" s="23">
        <v>2508</v>
      </c>
      <c r="AL594" s="23">
        <v>5931</v>
      </c>
      <c r="AM594" s="24">
        <v>0.42286292362164801</v>
      </c>
      <c r="AN594" s="44" t="str">
        <f>VLOOKUP(flu_aw25[[#This Row],[trust_code]],trust_lookup[],3,0)</f>
        <v>Epsom</v>
      </c>
    </row>
    <row r="595" spans="11:40" x14ac:dyDescent="0.35">
      <c r="K595" s="2" t="s">
        <v>519</v>
      </c>
      <c r="L595" s="2" t="s">
        <v>147</v>
      </c>
      <c r="M595" s="2" t="s">
        <v>148</v>
      </c>
      <c r="N595" s="2" t="s">
        <v>27</v>
      </c>
      <c r="O595" s="2" t="s">
        <v>112</v>
      </c>
      <c r="P595" s="2">
        <v>62</v>
      </c>
      <c r="R595" s="43">
        <v>45649</v>
      </c>
      <c r="S595" s="2">
        <v>52</v>
      </c>
      <c r="T595" s="2" t="s">
        <v>519</v>
      </c>
      <c r="U595" s="2" t="s">
        <v>157</v>
      </c>
      <c r="V595" s="2" t="s">
        <v>158</v>
      </c>
      <c r="W595" s="2" t="s">
        <v>27</v>
      </c>
      <c r="X595" s="23">
        <v>33</v>
      </c>
      <c r="Y595" s="23">
        <v>5375</v>
      </c>
      <c r="Z595" s="23">
        <v>18776</v>
      </c>
      <c r="AA595" s="24">
        <v>0.28626970600766899</v>
      </c>
      <c r="AB595" s="14" t="str">
        <f>VLOOKUP(flu_aw24[[#This Row],[trust_code]],trust_lookup[],3,0)</f>
        <v>Royal Free</v>
      </c>
      <c r="AD595" s="43">
        <v>46013</v>
      </c>
      <c r="AE595" s="2">
        <v>52</v>
      </c>
      <c r="AF595" s="2" t="s">
        <v>518</v>
      </c>
      <c r="AG595" s="2" t="s">
        <v>76</v>
      </c>
      <c r="AH595" s="2" t="s">
        <v>77</v>
      </c>
      <c r="AI595" s="2" t="s">
        <v>194</v>
      </c>
      <c r="AJ595" s="23">
        <v>3</v>
      </c>
      <c r="AK595" s="23">
        <v>2511</v>
      </c>
      <c r="AL595" s="23">
        <v>5931</v>
      </c>
      <c r="AM595" s="24">
        <v>0.42336874051593298</v>
      </c>
      <c r="AN595" s="44" t="str">
        <f>VLOOKUP(flu_aw25[[#This Row],[trust_code]],trust_lookup[],3,0)</f>
        <v>Epsom</v>
      </c>
    </row>
    <row r="596" spans="11:40" x14ac:dyDescent="0.35">
      <c r="K596" s="2" t="s">
        <v>519</v>
      </c>
      <c r="L596" s="2" t="s">
        <v>147</v>
      </c>
      <c r="M596" s="2" t="s">
        <v>148</v>
      </c>
      <c r="N596" s="2" t="s">
        <v>27</v>
      </c>
      <c r="O596" s="2" t="s">
        <v>36</v>
      </c>
      <c r="P596" s="2">
        <v>56</v>
      </c>
      <c r="R596" s="43">
        <v>45656</v>
      </c>
      <c r="S596" s="2">
        <v>1</v>
      </c>
      <c r="T596" s="2" t="s">
        <v>519</v>
      </c>
      <c r="U596" s="2" t="s">
        <v>157</v>
      </c>
      <c r="V596" s="2" t="s">
        <v>158</v>
      </c>
      <c r="W596" s="2" t="s">
        <v>27</v>
      </c>
      <c r="X596" s="23">
        <v>41</v>
      </c>
      <c r="Y596" s="23">
        <v>5416</v>
      </c>
      <c r="Z596" s="23">
        <v>18776</v>
      </c>
      <c r="AA596" s="24">
        <v>0.288453344695355</v>
      </c>
      <c r="AB596" s="14" t="str">
        <f>VLOOKUP(flu_aw24[[#This Row],[trust_code]],trust_lookup[],3,0)</f>
        <v>Royal Free</v>
      </c>
      <c r="AD596" s="43">
        <v>46020</v>
      </c>
      <c r="AE596" s="2">
        <v>1</v>
      </c>
      <c r="AF596" s="2" t="s">
        <v>518</v>
      </c>
      <c r="AG596" s="2" t="s">
        <v>76</v>
      </c>
      <c r="AH596" s="2" t="s">
        <v>77</v>
      </c>
      <c r="AI596" s="2" t="s">
        <v>194</v>
      </c>
      <c r="AJ596" s="23">
        <v>5</v>
      </c>
      <c r="AK596" s="23">
        <v>2516</v>
      </c>
      <c r="AL596" s="23">
        <v>5931</v>
      </c>
      <c r="AM596" s="24">
        <v>0.42421176867307298</v>
      </c>
      <c r="AN596" s="44" t="str">
        <f>VLOOKUP(flu_aw25[[#This Row],[trust_code]],trust_lookup[],3,0)</f>
        <v>Epsom</v>
      </c>
    </row>
    <row r="597" spans="11:40" x14ac:dyDescent="0.35">
      <c r="K597" s="2" t="s">
        <v>519</v>
      </c>
      <c r="L597" s="2" t="s">
        <v>157</v>
      </c>
      <c r="M597" s="2" t="s">
        <v>158</v>
      </c>
      <c r="N597" s="2" t="s">
        <v>27</v>
      </c>
      <c r="O597" s="2" t="s">
        <v>68</v>
      </c>
      <c r="P597" s="2">
        <v>1720</v>
      </c>
      <c r="R597" s="43">
        <v>45663</v>
      </c>
      <c r="S597" s="2">
        <v>2</v>
      </c>
      <c r="T597" s="2" t="s">
        <v>519</v>
      </c>
      <c r="U597" s="2" t="s">
        <v>157</v>
      </c>
      <c r="V597" s="2" t="s">
        <v>158</v>
      </c>
      <c r="W597" s="2" t="s">
        <v>27</v>
      </c>
      <c r="X597" s="23">
        <v>91</v>
      </c>
      <c r="Y597" s="23">
        <v>5507</v>
      </c>
      <c r="Z597" s="23">
        <v>18776</v>
      </c>
      <c r="AA597" s="24">
        <v>0.29329995739241499</v>
      </c>
      <c r="AB597" s="14" t="str">
        <f>VLOOKUP(flu_aw24[[#This Row],[trust_code]],trust_lookup[],3,0)</f>
        <v>Royal Free</v>
      </c>
      <c r="AD597" s="43">
        <v>46027</v>
      </c>
      <c r="AE597" s="2">
        <v>2</v>
      </c>
      <c r="AF597" s="2" t="s">
        <v>518</v>
      </c>
      <c r="AG597" s="2" t="s">
        <v>76</v>
      </c>
      <c r="AH597" s="2" t="s">
        <v>77</v>
      </c>
      <c r="AI597" s="2" t="s">
        <v>194</v>
      </c>
      <c r="AJ597" s="23">
        <v>46</v>
      </c>
      <c r="AK597" s="23">
        <v>2562</v>
      </c>
      <c r="AL597" s="23">
        <v>5931</v>
      </c>
      <c r="AM597" s="24">
        <v>0.43196762771876501</v>
      </c>
      <c r="AN597" s="44" t="str">
        <f>VLOOKUP(flu_aw25[[#This Row],[trust_code]],trust_lookup[],3,0)</f>
        <v>Epsom</v>
      </c>
    </row>
    <row r="598" spans="11:40" x14ac:dyDescent="0.35">
      <c r="K598" s="2" t="s">
        <v>519</v>
      </c>
      <c r="L598" s="2" t="s">
        <v>157</v>
      </c>
      <c r="M598" s="2" t="s">
        <v>158</v>
      </c>
      <c r="N598" s="2" t="s">
        <v>27</v>
      </c>
      <c r="O598" s="2" t="s">
        <v>135</v>
      </c>
      <c r="P598" s="2">
        <v>101</v>
      </c>
      <c r="R598" s="43">
        <v>45670</v>
      </c>
      <c r="S598" s="2">
        <v>3</v>
      </c>
      <c r="T598" s="2" t="s">
        <v>519</v>
      </c>
      <c r="U598" s="2" t="s">
        <v>157</v>
      </c>
      <c r="V598" s="2" t="s">
        <v>158</v>
      </c>
      <c r="W598" s="2" t="s">
        <v>27</v>
      </c>
      <c r="X598" s="23">
        <v>96</v>
      </c>
      <c r="Y598" s="23">
        <v>5603</v>
      </c>
      <c r="Z598" s="23">
        <v>18776</v>
      </c>
      <c r="AA598" s="24">
        <v>0.29841286749041301</v>
      </c>
      <c r="AB598" s="14" t="str">
        <f>VLOOKUP(flu_aw24[[#This Row],[trust_code]],trust_lookup[],3,0)</f>
        <v>Royal Free</v>
      </c>
      <c r="AD598" s="43">
        <v>46034</v>
      </c>
      <c r="AE598" s="2">
        <v>3</v>
      </c>
      <c r="AF598" s="2" t="s">
        <v>518</v>
      </c>
      <c r="AG598" s="2" t="s">
        <v>76</v>
      </c>
      <c r="AH598" s="2" t="s">
        <v>77</v>
      </c>
      <c r="AI598" s="2" t="s">
        <v>194</v>
      </c>
      <c r="AJ598" s="23">
        <v>20</v>
      </c>
      <c r="AK598" s="23">
        <v>2582</v>
      </c>
      <c r="AL598" s="23">
        <v>5931</v>
      </c>
      <c r="AM598" s="24">
        <v>0.43533974034732698</v>
      </c>
      <c r="AN598" s="44" t="str">
        <f>VLOOKUP(flu_aw25[[#This Row],[trust_code]],trust_lookup[],3,0)</f>
        <v>Epsom</v>
      </c>
    </row>
    <row r="599" spans="11:40" x14ac:dyDescent="0.35">
      <c r="K599" s="2" t="s">
        <v>519</v>
      </c>
      <c r="L599" s="2" t="s">
        <v>157</v>
      </c>
      <c r="M599" s="2" t="s">
        <v>158</v>
      </c>
      <c r="N599" s="2" t="s">
        <v>27</v>
      </c>
      <c r="O599" s="2" t="s">
        <v>54</v>
      </c>
      <c r="P599" s="2">
        <v>597</v>
      </c>
      <c r="R599" s="43">
        <v>45677</v>
      </c>
      <c r="S599" s="2">
        <v>4</v>
      </c>
      <c r="T599" s="2" t="s">
        <v>519</v>
      </c>
      <c r="U599" s="2" t="s">
        <v>157</v>
      </c>
      <c r="V599" s="2" t="s">
        <v>158</v>
      </c>
      <c r="W599" s="2" t="s">
        <v>27</v>
      </c>
      <c r="X599" s="23">
        <v>31</v>
      </c>
      <c r="Y599" s="23">
        <v>5634</v>
      </c>
      <c r="Z599" s="23">
        <v>18776</v>
      </c>
      <c r="AA599" s="24">
        <v>0.30006391137622401</v>
      </c>
      <c r="AB599" s="14" t="str">
        <f>VLOOKUP(flu_aw24[[#This Row],[trust_code]],trust_lookup[],3,0)</f>
        <v>Royal Free</v>
      </c>
      <c r="AD599" s="43">
        <v>46041</v>
      </c>
      <c r="AE599" s="2">
        <v>4</v>
      </c>
      <c r="AF599" s="2" t="s">
        <v>518</v>
      </c>
      <c r="AG599" s="2" t="s">
        <v>76</v>
      </c>
      <c r="AH599" s="2" t="s">
        <v>77</v>
      </c>
      <c r="AI599" s="2" t="s">
        <v>194</v>
      </c>
      <c r="AJ599" s="23">
        <v>21</v>
      </c>
      <c r="AK599" s="23">
        <v>2603</v>
      </c>
      <c r="AL599" s="23">
        <v>5931</v>
      </c>
      <c r="AM599" s="24">
        <v>0.438880458607317</v>
      </c>
      <c r="AN599" s="44" t="str">
        <f>VLOOKUP(flu_aw25[[#This Row],[trust_code]],trust_lookup[],3,0)</f>
        <v>Epsom</v>
      </c>
    </row>
    <row r="600" spans="11:40" x14ac:dyDescent="0.35">
      <c r="K600" s="2" t="s">
        <v>519</v>
      </c>
      <c r="L600" s="2" t="s">
        <v>157</v>
      </c>
      <c r="M600" s="2" t="s">
        <v>158</v>
      </c>
      <c r="N600" s="2" t="s">
        <v>27</v>
      </c>
      <c r="O600" s="2" t="s">
        <v>129</v>
      </c>
      <c r="P600" s="2">
        <v>17</v>
      </c>
      <c r="R600" s="43">
        <v>45684</v>
      </c>
      <c r="S600" s="2">
        <v>5</v>
      </c>
      <c r="T600" s="2" t="s">
        <v>519</v>
      </c>
      <c r="U600" s="2" t="s">
        <v>157</v>
      </c>
      <c r="V600" s="2" t="s">
        <v>158</v>
      </c>
      <c r="W600" s="2" t="s">
        <v>27</v>
      </c>
      <c r="X600" s="23">
        <v>16</v>
      </c>
      <c r="Y600" s="23">
        <v>5650</v>
      </c>
      <c r="Z600" s="23">
        <v>18776</v>
      </c>
      <c r="AA600" s="24">
        <v>0.30091606305922403</v>
      </c>
      <c r="AB600" s="14" t="str">
        <f>VLOOKUP(flu_aw24[[#This Row],[trust_code]],trust_lookup[],3,0)</f>
        <v>Royal Free</v>
      </c>
      <c r="AD600" s="43">
        <v>46048</v>
      </c>
      <c r="AE600" s="2">
        <v>5</v>
      </c>
      <c r="AF600" s="2" t="s">
        <v>518</v>
      </c>
      <c r="AG600" s="2" t="s">
        <v>76</v>
      </c>
      <c r="AH600" s="2" t="s">
        <v>77</v>
      </c>
      <c r="AI600" s="2" t="s">
        <v>194</v>
      </c>
      <c r="AJ600" s="23">
        <v>12</v>
      </c>
      <c r="AK600" s="23">
        <v>2615</v>
      </c>
      <c r="AL600" s="23">
        <v>5931</v>
      </c>
      <c r="AM600" s="24">
        <v>0.440903726184454</v>
      </c>
      <c r="AN600" s="44" t="str">
        <f>VLOOKUP(flu_aw25[[#This Row],[trust_code]],trust_lookup[],3,0)</f>
        <v>Epsom</v>
      </c>
    </row>
    <row r="601" spans="11:40" x14ac:dyDescent="0.35">
      <c r="K601" s="2" t="s">
        <v>519</v>
      </c>
      <c r="L601" s="2" t="s">
        <v>157</v>
      </c>
      <c r="M601" s="2" t="s">
        <v>158</v>
      </c>
      <c r="N601" s="2" t="s">
        <v>27</v>
      </c>
      <c r="O601" s="2" t="s">
        <v>47</v>
      </c>
      <c r="P601" s="2">
        <v>52</v>
      </c>
      <c r="R601" s="43">
        <v>45691</v>
      </c>
      <c r="S601" s="2">
        <v>6</v>
      </c>
      <c r="T601" s="2" t="s">
        <v>519</v>
      </c>
      <c r="U601" s="2" t="s">
        <v>157</v>
      </c>
      <c r="V601" s="2" t="s">
        <v>158</v>
      </c>
      <c r="W601" s="2" t="s">
        <v>27</v>
      </c>
      <c r="X601" s="23">
        <v>14</v>
      </c>
      <c r="Y601" s="23">
        <v>5664</v>
      </c>
      <c r="Z601" s="23">
        <v>18776</v>
      </c>
      <c r="AA601" s="24">
        <v>0.30166169578184898</v>
      </c>
      <c r="AB601" s="14" t="str">
        <f>VLOOKUP(flu_aw24[[#This Row],[trust_code]],trust_lookup[],3,0)</f>
        <v>Royal Free</v>
      </c>
      <c r="AD601" s="43">
        <v>46055</v>
      </c>
      <c r="AE601" s="2">
        <v>6</v>
      </c>
      <c r="AF601" s="2" t="s">
        <v>518</v>
      </c>
      <c r="AG601" s="2" t="s">
        <v>76</v>
      </c>
      <c r="AH601" s="2" t="s">
        <v>77</v>
      </c>
      <c r="AI601" s="2" t="s">
        <v>194</v>
      </c>
      <c r="AJ601" s="23">
        <v>6</v>
      </c>
      <c r="AK601" s="23">
        <v>2621</v>
      </c>
      <c r="AL601" s="23">
        <v>5931</v>
      </c>
      <c r="AM601" s="24">
        <v>0.441915359973023</v>
      </c>
      <c r="AN601" s="44" t="str">
        <f>VLOOKUP(flu_aw25[[#This Row],[trust_code]],trust_lookup[],3,0)</f>
        <v>Epsom</v>
      </c>
    </row>
    <row r="602" spans="11:40" x14ac:dyDescent="0.35">
      <c r="K602" s="2" t="s">
        <v>519</v>
      </c>
      <c r="L602" s="2" t="s">
        <v>157</v>
      </c>
      <c r="M602" s="2" t="s">
        <v>158</v>
      </c>
      <c r="N602" s="2" t="s">
        <v>27</v>
      </c>
      <c r="O602" s="2" t="s">
        <v>94</v>
      </c>
      <c r="P602" s="2">
        <v>61</v>
      </c>
      <c r="R602" s="43">
        <v>45698</v>
      </c>
      <c r="S602" s="2">
        <v>7</v>
      </c>
      <c r="T602" s="2" t="s">
        <v>519</v>
      </c>
      <c r="U602" s="2" t="s">
        <v>157</v>
      </c>
      <c r="V602" s="2" t="s">
        <v>158</v>
      </c>
      <c r="W602" s="2" t="s">
        <v>27</v>
      </c>
      <c r="X602" s="23">
        <v>11</v>
      </c>
      <c r="Y602" s="23">
        <v>5675</v>
      </c>
      <c r="Z602" s="23">
        <v>18776</v>
      </c>
      <c r="AA602" s="24">
        <v>0.30224755006391102</v>
      </c>
      <c r="AB602" s="14" t="str">
        <f>VLOOKUP(flu_aw24[[#This Row],[trust_code]],trust_lookup[],3,0)</f>
        <v>Royal Free</v>
      </c>
      <c r="AD602" s="43">
        <v>46062</v>
      </c>
      <c r="AE602" s="2">
        <v>7</v>
      </c>
      <c r="AF602" s="2" t="s">
        <v>518</v>
      </c>
      <c r="AG602" s="2" t="s">
        <v>76</v>
      </c>
      <c r="AH602" s="2" t="s">
        <v>77</v>
      </c>
      <c r="AI602" s="2" t="s">
        <v>194</v>
      </c>
      <c r="AJ602" s="23">
        <v>13</v>
      </c>
      <c r="AK602" s="23">
        <v>2634</v>
      </c>
      <c r="AL602" s="23">
        <v>5931</v>
      </c>
      <c r="AM602" s="24">
        <v>0.44410723318158801</v>
      </c>
      <c r="AN602" s="44" t="str">
        <f>VLOOKUP(flu_aw25[[#This Row],[trust_code]],trust_lookup[],3,0)</f>
        <v>Epsom</v>
      </c>
    </row>
    <row r="603" spans="11:40" x14ac:dyDescent="0.35">
      <c r="K603" s="2" t="s">
        <v>519</v>
      </c>
      <c r="L603" s="2" t="s">
        <v>157</v>
      </c>
      <c r="M603" s="2" t="s">
        <v>158</v>
      </c>
      <c r="N603" s="2" t="s">
        <v>27</v>
      </c>
      <c r="O603" s="2" t="s">
        <v>29</v>
      </c>
      <c r="P603" s="2">
        <v>65</v>
      </c>
      <c r="R603" s="43">
        <v>45705</v>
      </c>
      <c r="S603" s="2">
        <v>8</v>
      </c>
      <c r="T603" s="2" t="s">
        <v>519</v>
      </c>
      <c r="U603" s="2" t="s">
        <v>157</v>
      </c>
      <c r="V603" s="2" t="s">
        <v>158</v>
      </c>
      <c r="W603" s="2" t="s">
        <v>27</v>
      </c>
      <c r="X603" s="23">
        <v>7</v>
      </c>
      <c r="Y603" s="23">
        <v>5682</v>
      </c>
      <c r="Z603" s="23">
        <v>18776</v>
      </c>
      <c r="AA603" s="24">
        <v>0.302620366425223</v>
      </c>
      <c r="AB603" s="14" t="str">
        <f>VLOOKUP(flu_aw24[[#This Row],[trust_code]],trust_lookup[],3,0)</f>
        <v>Royal Free</v>
      </c>
      <c r="AD603" s="43">
        <v>46069</v>
      </c>
      <c r="AE603" s="2">
        <v>8</v>
      </c>
      <c r="AF603" s="2" t="s">
        <v>518</v>
      </c>
      <c r="AG603" s="2" t="s">
        <v>76</v>
      </c>
      <c r="AH603" s="2" t="s">
        <v>77</v>
      </c>
      <c r="AI603" s="2" t="s">
        <v>194</v>
      </c>
      <c r="AJ603" s="23">
        <v>6</v>
      </c>
      <c r="AK603" s="23">
        <v>2640</v>
      </c>
      <c r="AL603" s="23">
        <v>5931</v>
      </c>
      <c r="AM603" s="24">
        <v>0.44511886697015601</v>
      </c>
      <c r="AN603" s="44" t="str">
        <f>VLOOKUP(flu_aw25[[#This Row],[trust_code]],trust_lookup[],3,0)</f>
        <v>Epsom</v>
      </c>
    </row>
    <row r="604" spans="11:40" x14ac:dyDescent="0.35">
      <c r="K604" s="2" t="s">
        <v>519</v>
      </c>
      <c r="L604" s="2" t="s">
        <v>157</v>
      </c>
      <c r="M604" s="2" t="s">
        <v>158</v>
      </c>
      <c r="N604" s="2" t="s">
        <v>27</v>
      </c>
      <c r="O604" s="2" t="s">
        <v>123</v>
      </c>
      <c r="P604" s="2">
        <v>583</v>
      </c>
      <c r="R604" s="43">
        <v>45712</v>
      </c>
      <c r="S604" s="2">
        <v>9</v>
      </c>
      <c r="T604" s="2" t="s">
        <v>519</v>
      </c>
      <c r="U604" s="2" t="s">
        <v>157</v>
      </c>
      <c r="V604" s="2" t="s">
        <v>158</v>
      </c>
      <c r="W604" s="2" t="s">
        <v>27</v>
      </c>
      <c r="X604" s="23">
        <v>5</v>
      </c>
      <c r="Y604" s="23">
        <v>5687</v>
      </c>
      <c r="Z604" s="23">
        <v>18776</v>
      </c>
      <c r="AA604" s="24">
        <v>0.30288666382616097</v>
      </c>
      <c r="AB604" s="14" t="str">
        <f>VLOOKUP(flu_aw24[[#This Row],[trust_code]],trust_lookup[],3,0)</f>
        <v>Royal Free</v>
      </c>
      <c r="AD604" s="43">
        <v>46076</v>
      </c>
      <c r="AE604" s="2">
        <v>9</v>
      </c>
      <c r="AF604" s="2" t="s">
        <v>518</v>
      </c>
      <c r="AG604" s="2" t="s">
        <v>76</v>
      </c>
      <c r="AH604" s="2" t="s">
        <v>77</v>
      </c>
      <c r="AI604" s="2" t="s">
        <v>194</v>
      </c>
      <c r="AJ604" s="23">
        <v>3</v>
      </c>
      <c r="AK604" s="23">
        <v>2643</v>
      </c>
      <c r="AL604" s="23">
        <v>5931</v>
      </c>
      <c r="AM604" s="24">
        <v>0.44562468386444098</v>
      </c>
      <c r="AN604" s="44" t="str">
        <f>VLOOKUP(flu_aw25[[#This Row],[trust_code]],trust_lookup[],3,0)</f>
        <v>Epsom</v>
      </c>
    </row>
    <row r="605" spans="11:40" x14ac:dyDescent="0.35">
      <c r="K605" s="2" t="s">
        <v>519</v>
      </c>
      <c r="L605" s="2" t="s">
        <v>157</v>
      </c>
      <c r="M605" s="2" t="s">
        <v>158</v>
      </c>
      <c r="N605" s="2" t="s">
        <v>27</v>
      </c>
      <c r="O605" s="2" t="s">
        <v>82</v>
      </c>
      <c r="P605" s="2">
        <v>112</v>
      </c>
      <c r="R605" s="43">
        <v>45719</v>
      </c>
      <c r="S605" s="2">
        <v>10</v>
      </c>
      <c r="T605" s="2" t="s">
        <v>519</v>
      </c>
      <c r="U605" s="2" t="s">
        <v>157</v>
      </c>
      <c r="V605" s="2" t="s">
        <v>158</v>
      </c>
      <c r="W605" s="2" t="s">
        <v>27</v>
      </c>
      <c r="X605" s="23">
        <v>4</v>
      </c>
      <c r="Y605" s="23">
        <v>5691</v>
      </c>
      <c r="Z605" s="23">
        <v>18776</v>
      </c>
      <c r="AA605" s="24">
        <v>0.30309970174691098</v>
      </c>
      <c r="AB605" s="14" t="str">
        <f>VLOOKUP(flu_aw24[[#This Row],[trust_code]],trust_lookup[],3,0)</f>
        <v>Royal Free</v>
      </c>
      <c r="AD605" s="43">
        <v>45901</v>
      </c>
      <c r="AE605" s="2">
        <v>36</v>
      </c>
      <c r="AF605" s="2" t="s">
        <v>518</v>
      </c>
      <c r="AG605" s="2" t="s">
        <v>89</v>
      </c>
      <c r="AH605" s="2" t="s">
        <v>90</v>
      </c>
      <c r="AI605" s="2" t="s">
        <v>193</v>
      </c>
      <c r="AJ605" s="23">
        <v>4</v>
      </c>
      <c r="AK605" s="23">
        <v>4</v>
      </c>
      <c r="AL605" s="23">
        <v>17148</v>
      </c>
      <c r="AM605" s="24">
        <v>2.3326335432703499E-4</v>
      </c>
      <c r="AN605" s="44" t="str">
        <f>VLOOKUP(flu_aw25[[#This Row],[trust_code]],trust_lookup[],3,0)</f>
        <v>GSTT</v>
      </c>
    </row>
    <row r="606" spans="11:40" x14ac:dyDescent="0.35">
      <c r="K606" s="2" t="s">
        <v>519</v>
      </c>
      <c r="L606" s="2" t="s">
        <v>157</v>
      </c>
      <c r="M606" s="2" t="s">
        <v>158</v>
      </c>
      <c r="N606" s="2" t="s">
        <v>27</v>
      </c>
      <c r="O606" s="2" t="s">
        <v>88</v>
      </c>
      <c r="P606" s="2">
        <v>69</v>
      </c>
      <c r="R606" s="43">
        <v>45726</v>
      </c>
      <c r="S606" s="2">
        <v>11</v>
      </c>
      <c r="T606" s="2" t="s">
        <v>519</v>
      </c>
      <c r="U606" s="2" t="s">
        <v>157</v>
      </c>
      <c r="V606" s="2" t="s">
        <v>158</v>
      </c>
      <c r="W606" s="2" t="s">
        <v>27</v>
      </c>
      <c r="X606" s="23">
        <v>2</v>
      </c>
      <c r="Y606" s="23">
        <v>5693</v>
      </c>
      <c r="Z606" s="23">
        <v>18776</v>
      </c>
      <c r="AA606" s="24">
        <v>0.30320622070728498</v>
      </c>
      <c r="AB606" s="14" t="str">
        <f>VLOOKUP(flu_aw24[[#This Row],[trust_code]],trust_lookup[],3,0)</f>
        <v>Royal Free</v>
      </c>
      <c r="AD606" s="43">
        <v>45908</v>
      </c>
      <c r="AE606" s="2">
        <v>37</v>
      </c>
      <c r="AF606" s="2" t="s">
        <v>518</v>
      </c>
      <c r="AG606" s="2" t="s">
        <v>89</v>
      </c>
      <c r="AH606" s="2" t="s">
        <v>90</v>
      </c>
      <c r="AI606" s="2" t="s">
        <v>193</v>
      </c>
      <c r="AJ606" s="23">
        <v>4</v>
      </c>
      <c r="AK606" s="23">
        <v>8</v>
      </c>
      <c r="AL606" s="23">
        <v>17148</v>
      </c>
      <c r="AM606" s="24">
        <v>4.6652670865406998E-4</v>
      </c>
      <c r="AN606" s="44" t="str">
        <f>VLOOKUP(flu_aw25[[#This Row],[trust_code]],trust_lookup[],3,0)</f>
        <v>GSTT</v>
      </c>
    </row>
    <row r="607" spans="11:40" x14ac:dyDescent="0.35">
      <c r="K607" s="2" t="s">
        <v>519</v>
      </c>
      <c r="L607" s="2" t="s">
        <v>157</v>
      </c>
      <c r="M607" s="2" t="s">
        <v>158</v>
      </c>
      <c r="N607" s="2" t="s">
        <v>27</v>
      </c>
      <c r="O607" s="2" t="s">
        <v>141</v>
      </c>
      <c r="P607" s="2">
        <v>629</v>
      </c>
      <c r="R607" s="43">
        <v>45733</v>
      </c>
      <c r="S607" s="2">
        <v>12</v>
      </c>
      <c r="T607" s="2" t="s">
        <v>519</v>
      </c>
      <c r="U607" s="2" t="s">
        <v>157</v>
      </c>
      <c r="V607" s="2" t="s">
        <v>158</v>
      </c>
      <c r="W607" s="2" t="s">
        <v>27</v>
      </c>
      <c r="X607" s="23">
        <v>6</v>
      </c>
      <c r="Y607" s="23">
        <v>5699</v>
      </c>
      <c r="Z607" s="23">
        <v>18776</v>
      </c>
      <c r="AA607" s="24">
        <v>0.30352577758840998</v>
      </c>
      <c r="AB607" s="14" t="str">
        <f>VLOOKUP(flu_aw24[[#This Row],[trust_code]],trust_lookup[],3,0)</f>
        <v>Royal Free</v>
      </c>
      <c r="AD607" s="43">
        <v>45915</v>
      </c>
      <c r="AE607" s="2">
        <v>38</v>
      </c>
      <c r="AF607" s="2" t="s">
        <v>518</v>
      </c>
      <c r="AG607" s="2" t="s">
        <v>89</v>
      </c>
      <c r="AH607" s="2" t="s">
        <v>90</v>
      </c>
      <c r="AI607" s="2" t="s">
        <v>193</v>
      </c>
      <c r="AJ607" s="23">
        <v>8</v>
      </c>
      <c r="AK607" s="23">
        <v>16</v>
      </c>
      <c r="AL607" s="23">
        <v>17148</v>
      </c>
      <c r="AM607" s="24">
        <v>9.3305341730813996E-4</v>
      </c>
      <c r="AN607" s="44" t="str">
        <f>VLOOKUP(flu_aw25[[#This Row],[trust_code]],trust_lookup[],3,0)</f>
        <v>GSTT</v>
      </c>
    </row>
    <row r="608" spans="11:40" x14ac:dyDescent="0.35">
      <c r="K608" s="2" t="s">
        <v>519</v>
      </c>
      <c r="L608" s="2" t="s">
        <v>157</v>
      </c>
      <c r="M608" s="2" t="s">
        <v>158</v>
      </c>
      <c r="N608" s="2" t="s">
        <v>27</v>
      </c>
      <c r="O608" s="2" t="s">
        <v>61</v>
      </c>
      <c r="P608" s="2">
        <v>92</v>
      </c>
      <c r="R608" s="43">
        <v>45740</v>
      </c>
      <c r="S608" s="2">
        <v>13</v>
      </c>
      <c r="T608" s="2" t="s">
        <v>519</v>
      </c>
      <c r="U608" s="2" t="s">
        <v>157</v>
      </c>
      <c r="V608" s="2" t="s">
        <v>158</v>
      </c>
      <c r="W608" s="2" t="s">
        <v>27</v>
      </c>
      <c r="X608" s="23">
        <v>5</v>
      </c>
      <c r="Y608" s="23">
        <v>5704</v>
      </c>
      <c r="Z608" s="23">
        <v>18776</v>
      </c>
      <c r="AA608" s="24">
        <v>0.30379207498934802</v>
      </c>
      <c r="AB608" s="14" t="str">
        <f>VLOOKUP(flu_aw24[[#This Row],[trust_code]],trust_lookup[],3,0)</f>
        <v>Royal Free</v>
      </c>
      <c r="AD608" s="43">
        <v>45922</v>
      </c>
      <c r="AE608" s="2">
        <v>39</v>
      </c>
      <c r="AF608" s="2" t="s">
        <v>518</v>
      </c>
      <c r="AG608" s="2" t="s">
        <v>89</v>
      </c>
      <c r="AH608" s="2" t="s">
        <v>90</v>
      </c>
      <c r="AI608" s="2" t="s">
        <v>193</v>
      </c>
      <c r="AJ608" s="23">
        <v>10</v>
      </c>
      <c r="AK608" s="23">
        <v>26</v>
      </c>
      <c r="AL608" s="23">
        <v>17148</v>
      </c>
      <c r="AM608" s="24">
        <v>1.51621180312572E-3</v>
      </c>
      <c r="AN608" s="44" t="str">
        <f>VLOOKUP(flu_aw25[[#This Row],[trust_code]],trust_lookup[],3,0)</f>
        <v>GSTT</v>
      </c>
    </row>
    <row r="609" spans="11:40" x14ac:dyDescent="0.35">
      <c r="K609" s="2" t="s">
        <v>519</v>
      </c>
      <c r="L609" s="2" t="s">
        <v>157</v>
      </c>
      <c r="M609" s="2" t="s">
        <v>158</v>
      </c>
      <c r="N609" s="2" t="s">
        <v>27</v>
      </c>
      <c r="O609" s="2" t="s">
        <v>100</v>
      </c>
      <c r="P609" s="2">
        <v>562</v>
      </c>
      <c r="R609" s="43">
        <v>45747</v>
      </c>
      <c r="S609" s="2">
        <v>14</v>
      </c>
      <c r="T609" s="2" t="s">
        <v>519</v>
      </c>
      <c r="U609" s="2" t="s">
        <v>157</v>
      </c>
      <c r="V609" s="2" t="s">
        <v>158</v>
      </c>
      <c r="W609" s="2" t="s">
        <v>27</v>
      </c>
      <c r="X609" s="23">
        <v>1</v>
      </c>
      <c r="Y609" s="23">
        <v>5705</v>
      </c>
      <c r="Z609" s="23">
        <v>18776</v>
      </c>
      <c r="AA609" s="24">
        <v>0.30384533446953499</v>
      </c>
      <c r="AB609" s="14" t="str">
        <f>VLOOKUP(flu_aw24[[#This Row],[trust_code]],trust_lookup[],3,0)</f>
        <v>Royal Free</v>
      </c>
      <c r="AD609" s="43">
        <v>45929</v>
      </c>
      <c r="AE609" s="2">
        <v>40</v>
      </c>
      <c r="AF609" s="2" t="s">
        <v>518</v>
      </c>
      <c r="AG609" s="2" t="s">
        <v>89</v>
      </c>
      <c r="AH609" s="2" t="s">
        <v>90</v>
      </c>
      <c r="AI609" s="2" t="s">
        <v>193</v>
      </c>
      <c r="AJ609" s="23">
        <v>912</v>
      </c>
      <c r="AK609" s="23">
        <v>938</v>
      </c>
      <c r="AL609" s="23">
        <v>17148</v>
      </c>
      <c r="AM609" s="24">
        <v>5.4700256589689703E-2</v>
      </c>
      <c r="AN609" s="44" t="str">
        <f>VLOOKUP(flu_aw25[[#This Row],[trust_code]],trust_lookup[],3,0)</f>
        <v>GSTT</v>
      </c>
    </row>
    <row r="610" spans="11:40" x14ac:dyDescent="0.35">
      <c r="K610" s="2" t="s">
        <v>519</v>
      </c>
      <c r="L610" s="2" t="s">
        <v>157</v>
      </c>
      <c r="M610" s="2" t="s">
        <v>158</v>
      </c>
      <c r="N610" s="2" t="s">
        <v>27</v>
      </c>
      <c r="O610" s="2" t="s">
        <v>75</v>
      </c>
      <c r="P610" s="2">
        <v>133</v>
      </c>
      <c r="R610" s="43">
        <v>45551</v>
      </c>
      <c r="S610" s="2">
        <v>38</v>
      </c>
      <c r="T610" s="2" t="s">
        <v>519</v>
      </c>
      <c r="U610" s="2" t="s">
        <v>161</v>
      </c>
      <c r="V610" s="2" t="s">
        <v>162</v>
      </c>
      <c r="W610" s="2" t="s">
        <v>27</v>
      </c>
      <c r="X610" s="23">
        <v>1</v>
      </c>
      <c r="Y610" s="23">
        <v>1</v>
      </c>
      <c r="Z610" s="23">
        <v>1002</v>
      </c>
      <c r="AA610" s="24">
        <v>9.9800399201596798E-4</v>
      </c>
      <c r="AB610" s="14" t="str">
        <f>VLOOKUP(flu_aw24[[#This Row],[trust_code]],trust_lookup[],3,0)</f>
        <v>RNOH</v>
      </c>
      <c r="AD610" s="43">
        <v>45936</v>
      </c>
      <c r="AE610" s="2">
        <v>41</v>
      </c>
      <c r="AF610" s="2" t="s">
        <v>518</v>
      </c>
      <c r="AG610" s="2" t="s">
        <v>89</v>
      </c>
      <c r="AH610" s="2" t="s">
        <v>90</v>
      </c>
      <c r="AI610" s="2" t="s">
        <v>193</v>
      </c>
      <c r="AJ610" s="23">
        <v>1183</v>
      </c>
      <c r="AK610" s="23">
        <v>2121</v>
      </c>
      <c r="AL610" s="23">
        <v>17148</v>
      </c>
      <c r="AM610" s="24">
        <v>0.12368789363191</v>
      </c>
      <c r="AN610" s="44" t="str">
        <f>VLOOKUP(flu_aw25[[#This Row],[trust_code]],trust_lookup[],3,0)</f>
        <v>GSTT</v>
      </c>
    </row>
    <row r="611" spans="11:40" x14ac:dyDescent="0.35">
      <c r="K611" s="2" t="s">
        <v>519</v>
      </c>
      <c r="L611" s="2" t="s">
        <v>157</v>
      </c>
      <c r="M611" s="2" t="s">
        <v>158</v>
      </c>
      <c r="N611" s="2" t="s">
        <v>27</v>
      </c>
      <c r="O611" s="2" t="s">
        <v>106</v>
      </c>
      <c r="P611" s="2">
        <v>139</v>
      </c>
      <c r="R611" s="43">
        <v>45558</v>
      </c>
      <c r="S611" s="2">
        <v>39</v>
      </c>
      <c r="T611" s="2" t="s">
        <v>519</v>
      </c>
      <c r="U611" s="2" t="s">
        <v>161</v>
      </c>
      <c r="V611" s="2" t="s">
        <v>162</v>
      </c>
      <c r="W611" s="2" t="s">
        <v>27</v>
      </c>
      <c r="X611" s="23">
        <v>1</v>
      </c>
      <c r="Y611" s="23">
        <v>2</v>
      </c>
      <c r="Z611" s="23">
        <v>1002</v>
      </c>
      <c r="AA611" s="24">
        <v>1.9960079840319299E-3</v>
      </c>
      <c r="AB611" s="14" t="str">
        <f>VLOOKUP(flu_aw24[[#This Row],[trust_code]],trust_lookup[],3,0)</f>
        <v>RNOH</v>
      </c>
      <c r="AD611" s="43">
        <v>45943</v>
      </c>
      <c r="AE611" s="2">
        <v>42</v>
      </c>
      <c r="AF611" s="2" t="s">
        <v>518</v>
      </c>
      <c r="AG611" s="2" t="s">
        <v>89</v>
      </c>
      <c r="AH611" s="2" t="s">
        <v>90</v>
      </c>
      <c r="AI611" s="2" t="s">
        <v>193</v>
      </c>
      <c r="AJ611" s="23">
        <v>1017</v>
      </c>
      <c r="AK611" s="23">
        <v>3138</v>
      </c>
      <c r="AL611" s="23">
        <v>17148</v>
      </c>
      <c r="AM611" s="24">
        <v>0.182995101469559</v>
      </c>
      <c r="AN611" s="44" t="str">
        <f>VLOOKUP(flu_aw25[[#This Row],[trust_code]],trust_lookup[],3,0)</f>
        <v>GSTT</v>
      </c>
    </row>
    <row r="612" spans="11:40" x14ac:dyDescent="0.35">
      <c r="K612" s="2" t="s">
        <v>519</v>
      </c>
      <c r="L612" s="2" t="s">
        <v>157</v>
      </c>
      <c r="M612" s="2" t="s">
        <v>158</v>
      </c>
      <c r="N612" s="2" t="s">
        <v>27</v>
      </c>
      <c r="O612" s="2" t="s">
        <v>112</v>
      </c>
      <c r="P612" s="2">
        <v>448</v>
      </c>
      <c r="R612" s="43">
        <v>45565</v>
      </c>
      <c r="S612" s="2">
        <v>40</v>
      </c>
      <c r="T612" s="2" t="s">
        <v>519</v>
      </c>
      <c r="U612" s="2" t="s">
        <v>161</v>
      </c>
      <c r="V612" s="2" t="s">
        <v>162</v>
      </c>
      <c r="W612" s="2" t="s">
        <v>27</v>
      </c>
      <c r="X612" s="23">
        <v>38</v>
      </c>
      <c r="Y612" s="23">
        <v>40</v>
      </c>
      <c r="Z612" s="23">
        <v>1002</v>
      </c>
      <c r="AA612" s="24">
        <v>3.9920159680638702E-2</v>
      </c>
      <c r="AB612" s="14" t="str">
        <f>VLOOKUP(flu_aw24[[#This Row],[trust_code]],trust_lookup[],3,0)</f>
        <v>RNOH</v>
      </c>
      <c r="AD612" s="43">
        <v>45950</v>
      </c>
      <c r="AE612" s="2">
        <v>43</v>
      </c>
      <c r="AF612" s="2" t="s">
        <v>518</v>
      </c>
      <c r="AG612" s="2" t="s">
        <v>89</v>
      </c>
      <c r="AH612" s="2" t="s">
        <v>90</v>
      </c>
      <c r="AI612" s="2" t="s">
        <v>193</v>
      </c>
      <c r="AJ612" s="23">
        <v>685</v>
      </c>
      <c r="AK612" s="23">
        <v>3823</v>
      </c>
      <c r="AL612" s="23">
        <v>17148</v>
      </c>
      <c r="AM612" s="24">
        <v>0.222941450898063</v>
      </c>
      <c r="AN612" s="44" t="str">
        <f>VLOOKUP(flu_aw25[[#This Row],[trust_code]],trust_lookup[],3,0)</f>
        <v>GSTT</v>
      </c>
    </row>
    <row r="613" spans="11:40" x14ac:dyDescent="0.35">
      <c r="K613" s="2" t="s">
        <v>519</v>
      </c>
      <c r="L613" s="2" t="s">
        <v>157</v>
      </c>
      <c r="M613" s="2" t="s">
        <v>158</v>
      </c>
      <c r="N613" s="2" t="s">
        <v>27</v>
      </c>
      <c r="O613" s="2" t="s">
        <v>36</v>
      </c>
      <c r="P613" s="2">
        <v>322</v>
      </c>
      <c r="R613" s="43">
        <v>45572</v>
      </c>
      <c r="S613" s="2">
        <v>41</v>
      </c>
      <c r="T613" s="2" t="s">
        <v>519</v>
      </c>
      <c r="U613" s="2" t="s">
        <v>161</v>
      </c>
      <c r="V613" s="2" t="s">
        <v>162</v>
      </c>
      <c r="W613" s="2" t="s">
        <v>27</v>
      </c>
      <c r="X613" s="23">
        <v>57</v>
      </c>
      <c r="Y613" s="23">
        <v>97</v>
      </c>
      <c r="Z613" s="23">
        <v>1002</v>
      </c>
      <c r="AA613" s="24">
        <v>9.6806387225548907E-2</v>
      </c>
      <c r="AB613" s="14" t="str">
        <f>VLOOKUP(flu_aw24[[#This Row],[trust_code]],trust_lookup[],3,0)</f>
        <v>RNOH</v>
      </c>
      <c r="AD613" s="43">
        <v>45957</v>
      </c>
      <c r="AE613" s="2">
        <v>44</v>
      </c>
      <c r="AF613" s="2" t="s">
        <v>518</v>
      </c>
      <c r="AG613" s="2" t="s">
        <v>89</v>
      </c>
      <c r="AH613" s="2" t="s">
        <v>90</v>
      </c>
      <c r="AI613" s="2" t="s">
        <v>193</v>
      </c>
      <c r="AJ613" s="23">
        <v>564</v>
      </c>
      <c r="AK613" s="23">
        <v>4387</v>
      </c>
      <c r="AL613" s="23">
        <v>17148</v>
      </c>
      <c r="AM613" s="24">
        <v>0.255831583858175</v>
      </c>
      <c r="AN613" s="44" t="str">
        <f>VLOOKUP(flu_aw25[[#This Row],[trust_code]],trust_lookup[],3,0)</f>
        <v>GSTT</v>
      </c>
    </row>
    <row r="614" spans="11:40" x14ac:dyDescent="0.35">
      <c r="K614" s="2" t="s">
        <v>519</v>
      </c>
      <c r="L614" s="2" t="s">
        <v>161</v>
      </c>
      <c r="M614" s="2" t="s">
        <v>162</v>
      </c>
      <c r="N614" s="2" t="s">
        <v>27</v>
      </c>
      <c r="O614" s="2" t="s">
        <v>68</v>
      </c>
      <c r="P614" s="2">
        <v>128</v>
      </c>
      <c r="R614" s="43">
        <v>45579</v>
      </c>
      <c r="S614" s="2">
        <v>42</v>
      </c>
      <c r="T614" s="2" t="s">
        <v>519</v>
      </c>
      <c r="U614" s="2" t="s">
        <v>161</v>
      </c>
      <c r="V614" s="2" t="s">
        <v>162</v>
      </c>
      <c r="W614" s="2" t="s">
        <v>27</v>
      </c>
      <c r="X614" s="23">
        <v>65</v>
      </c>
      <c r="Y614" s="23">
        <v>162</v>
      </c>
      <c r="Z614" s="23">
        <v>1002</v>
      </c>
      <c r="AA614" s="24">
        <v>0.16167664670658599</v>
      </c>
      <c r="AB614" s="14" t="str">
        <f>VLOOKUP(flu_aw24[[#This Row],[trust_code]],trust_lookup[],3,0)</f>
        <v>RNOH</v>
      </c>
      <c r="AD614" s="43">
        <v>45964</v>
      </c>
      <c r="AE614" s="2">
        <v>45</v>
      </c>
      <c r="AF614" s="2" t="s">
        <v>518</v>
      </c>
      <c r="AG614" s="2" t="s">
        <v>89</v>
      </c>
      <c r="AH614" s="2" t="s">
        <v>90</v>
      </c>
      <c r="AI614" s="2" t="s">
        <v>193</v>
      </c>
      <c r="AJ614" s="23">
        <v>541</v>
      </c>
      <c r="AK614" s="23">
        <v>4928</v>
      </c>
      <c r="AL614" s="23">
        <v>17148</v>
      </c>
      <c r="AM614" s="24">
        <v>0.28738045253090699</v>
      </c>
      <c r="AN614" s="44" t="str">
        <f>VLOOKUP(flu_aw25[[#This Row],[trust_code]],trust_lookup[],3,0)</f>
        <v>GSTT</v>
      </c>
    </row>
    <row r="615" spans="11:40" x14ac:dyDescent="0.35">
      <c r="K615" s="2" t="s">
        <v>519</v>
      </c>
      <c r="L615" s="2" t="s">
        <v>161</v>
      </c>
      <c r="M615" s="2" t="s">
        <v>162</v>
      </c>
      <c r="N615" s="2" t="s">
        <v>27</v>
      </c>
      <c r="O615" s="2" t="s">
        <v>135</v>
      </c>
      <c r="P615" s="2">
        <v>4</v>
      </c>
      <c r="R615" s="43">
        <v>45586</v>
      </c>
      <c r="S615" s="2">
        <v>43</v>
      </c>
      <c r="T615" s="2" t="s">
        <v>519</v>
      </c>
      <c r="U615" s="2" t="s">
        <v>161</v>
      </c>
      <c r="V615" s="2" t="s">
        <v>162</v>
      </c>
      <c r="W615" s="2" t="s">
        <v>27</v>
      </c>
      <c r="X615" s="23">
        <v>42</v>
      </c>
      <c r="Y615" s="23">
        <v>204</v>
      </c>
      <c r="Z615" s="23">
        <v>1002</v>
      </c>
      <c r="AA615" s="24">
        <v>0.20359281437125701</v>
      </c>
      <c r="AB615" s="14" t="str">
        <f>VLOOKUP(flu_aw24[[#This Row],[trust_code]],trust_lookup[],3,0)</f>
        <v>RNOH</v>
      </c>
      <c r="AD615" s="43">
        <v>45971</v>
      </c>
      <c r="AE615" s="2">
        <v>46</v>
      </c>
      <c r="AF615" s="2" t="s">
        <v>518</v>
      </c>
      <c r="AG615" s="2" t="s">
        <v>89</v>
      </c>
      <c r="AH615" s="2" t="s">
        <v>90</v>
      </c>
      <c r="AI615" s="2" t="s">
        <v>193</v>
      </c>
      <c r="AJ615" s="23">
        <v>545</v>
      </c>
      <c r="AK615" s="23">
        <v>5473</v>
      </c>
      <c r="AL615" s="23">
        <v>17148</v>
      </c>
      <c r="AM615" s="24">
        <v>0.31916258455796498</v>
      </c>
      <c r="AN615" s="44" t="str">
        <f>VLOOKUP(flu_aw25[[#This Row],[trust_code]],trust_lookup[],3,0)</f>
        <v>GSTT</v>
      </c>
    </row>
    <row r="616" spans="11:40" x14ac:dyDescent="0.35">
      <c r="K616" s="2" t="s">
        <v>519</v>
      </c>
      <c r="L616" s="2" t="s">
        <v>161</v>
      </c>
      <c r="M616" s="2" t="s">
        <v>162</v>
      </c>
      <c r="N616" s="2" t="s">
        <v>27</v>
      </c>
      <c r="O616" s="2" t="s">
        <v>54</v>
      </c>
      <c r="P616" s="2">
        <v>28</v>
      </c>
      <c r="R616" s="43">
        <v>45593</v>
      </c>
      <c r="S616" s="2">
        <v>44</v>
      </c>
      <c r="T616" s="2" t="s">
        <v>519</v>
      </c>
      <c r="U616" s="2" t="s">
        <v>161</v>
      </c>
      <c r="V616" s="2" t="s">
        <v>162</v>
      </c>
      <c r="W616" s="2" t="s">
        <v>27</v>
      </c>
      <c r="X616" s="23">
        <v>31</v>
      </c>
      <c r="Y616" s="23">
        <v>235</v>
      </c>
      <c r="Z616" s="23">
        <v>1002</v>
      </c>
      <c r="AA616" s="24">
        <v>0.234530938123752</v>
      </c>
      <c r="AB616" s="14" t="str">
        <f>VLOOKUP(flu_aw24[[#This Row],[trust_code]],trust_lookup[],3,0)</f>
        <v>RNOH</v>
      </c>
      <c r="AD616" s="43">
        <v>45978</v>
      </c>
      <c r="AE616" s="2">
        <v>47</v>
      </c>
      <c r="AF616" s="2" t="s">
        <v>518</v>
      </c>
      <c r="AG616" s="2" t="s">
        <v>89</v>
      </c>
      <c r="AH616" s="2" t="s">
        <v>90</v>
      </c>
      <c r="AI616" s="2" t="s">
        <v>193</v>
      </c>
      <c r="AJ616" s="23">
        <v>537</v>
      </c>
      <c r="AK616" s="23">
        <v>6010</v>
      </c>
      <c r="AL616" s="23">
        <v>17148</v>
      </c>
      <c r="AM616" s="24">
        <v>0.35047818987637003</v>
      </c>
      <c r="AN616" s="44" t="str">
        <f>VLOOKUP(flu_aw25[[#This Row],[trust_code]],trust_lookup[],3,0)</f>
        <v>GSTT</v>
      </c>
    </row>
    <row r="617" spans="11:40" x14ac:dyDescent="0.35">
      <c r="K617" s="2" t="s">
        <v>519</v>
      </c>
      <c r="L617" s="2" t="s">
        <v>161</v>
      </c>
      <c r="M617" s="2" t="s">
        <v>162</v>
      </c>
      <c r="N617" s="2" t="s">
        <v>27</v>
      </c>
      <c r="O617" s="2" t="s">
        <v>129</v>
      </c>
      <c r="P617" s="2">
        <v>1</v>
      </c>
      <c r="R617" s="43">
        <v>45600</v>
      </c>
      <c r="S617" s="2">
        <v>45</v>
      </c>
      <c r="T617" s="2" t="s">
        <v>519</v>
      </c>
      <c r="U617" s="2" t="s">
        <v>161</v>
      </c>
      <c r="V617" s="2" t="s">
        <v>162</v>
      </c>
      <c r="W617" s="2" t="s">
        <v>27</v>
      </c>
      <c r="X617" s="23">
        <v>21</v>
      </c>
      <c r="Y617" s="23">
        <v>256</v>
      </c>
      <c r="Z617" s="23">
        <v>1002</v>
      </c>
      <c r="AA617" s="24">
        <v>0.25548902195608703</v>
      </c>
      <c r="AB617" s="14" t="str">
        <f>VLOOKUP(flu_aw24[[#This Row],[trust_code]],trust_lookup[],3,0)</f>
        <v>RNOH</v>
      </c>
      <c r="AD617" s="43">
        <v>45985</v>
      </c>
      <c r="AE617" s="2">
        <v>48</v>
      </c>
      <c r="AF617" s="2" t="s">
        <v>518</v>
      </c>
      <c r="AG617" s="2" t="s">
        <v>89</v>
      </c>
      <c r="AH617" s="2" t="s">
        <v>90</v>
      </c>
      <c r="AI617" s="2" t="s">
        <v>193</v>
      </c>
      <c r="AJ617" s="23">
        <v>512</v>
      </c>
      <c r="AK617" s="23">
        <v>6522</v>
      </c>
      <c r="AL617" s="23">
        <v>17148</v>
      </c>
      <c r="AM617" s="24">
        <v>0.38033589923022998</v>
      </c>
      <c r="AN617" s="44" t="str">
        <f>VLOOKUP(flu_aw25[[#This Row],[trust_code]],trust_lookup[],3,0)</f>
        <v>GSTT</v>
      </c>
    </row>
    <row r="618" spans="11:40" x14ac:dyDescent="0.35">
      <c r="K618" s="2" t="s">
        <v>519</v>
      </c>
      <c r="L618" s="2" t="s">
        <v>161</v>
      </c>
      <c r="M618" s="2" t="s">
        <v>162</v>
      </c>
      <c r="N618" s="2" t="s">
        <v>27</v>
      </c>
      <c r="O618" s="2" t="s">
        <v>47</v>
      </c>
      <c r="P618" s="2">
        <v>5</v>
      </c>
      <c r="R618" s="43">
        <v>45607</v>
      </c>
      <c r="S618" s="2">
        <v>46</v>
      </c>
      <c r="T618" s="2" t="s">
        <v>519</v>
      </c>
      <c r="U618" s="2" t="s">
        <v>161</v>
      </c>
      <c r="V618" s="2" t="s">
        <v>162</v>
      </c>
      <c r="W618" s="2" t="s">
        <v>27</v>
      </c>
      <c r="X618" s="23">
        <v>19</v>
      </c>
      <c r="Y618" s="23">
        <v>275</v>
      </c>
      <c r="Z618" s="23">
        <v>1002</v>
      </c>
      <c r="AA618" s="24">
        <v>0.27445109780439098</v>
      </c>
      <c r="AB618" s="14" t="str">
        <f>VLOOKUP(flu_aw24[[#This Row],[trust_code]],trust_lookup[],3,0)</f>
        <v>RNOH</v>
      </c>
      <c r="AD618" s="43">
        <v>45992</v>
      </c>
      <c r="AE618" s="2">
        <v>49</v>
      </c>
      <c r="AF618" s="2" t="s">
        <v>518</v>
      </c>
      <c r="AG618" s="2" t="s">
        <v>89</v>
      </c>
      <c r="AH618" s="2" t="s">
        <v>90</v>
      </c>
      <c r="AI618" s="2" t="s">
        <v>193</v>
      </c>
      <c r="AJ618" s="23">
        <v>185</v>
      </c>
      <c r="AK618" s="23">
        <v>6707</v>
      </c>
      <c r="AL618" s="23">
        <v>17148</v>
      </c>
      <c r="AM618" s="24">
        <v>0.39112432936785602</v>
      </c>
      <c r="AN618" s="44" t="str">
        <f>VLOOKUP(flu_aw25[[#This Row],[trust_code]],trust_lookup[],3,0)</f>
        <v>GSTT</v>
      </c>
    </row>
    <row r="619" spans="11:40" x14ac:dyDescent="0.35">
      <c r="K619" s="2" t="s">
        <v>519</v>
      </c>
      <c r="L619" s="2" t="s">
        <v>161</v>
      </c>
      <c r="M619" s="2" t="s">
        <v>162</v>
      </c>
      <c r="N619" s="2" t="s">
        <v>27</v>
      </c>
      <c r="O619" s="2" t="s">
        <v>94</v>
      </c>
      <c r="P619" s="2">
        <v>4</v>
      </c>
      <c r="R619" s="43">
        <v>45614</v>
      </c>
      <c r="S619" s="2">
        <v>47</v>
      </c>
      <c r="T619" s="2" t="s">
        <v>519</v>
      </c>
      <c r="U619" s="2" t="s">
        <v>161</v>
      </c>
      <c r="V619" s="2" t="s">
        <v>162</v>
      </c>
      <c r="W619" s="2" t="s">
        <v>27</v>
      </c>
      <c r="X619" s="23">
        <v>26</v>
      </c>
      <c r="Y619" s="23">
        <v>301</v>
      </c>
      <c r="Z619" s="23">
        <v>1002</v>
      </c>
      <c r="AA619" s="24">
        <v>0.300399201596806</v>
      </c>
      <c r="AB619" s="14" t="str">
        <f>VLOOKUP(flu_aw24[[#This Row],[trust_code]],trust_lookup[],3,0)</f>
        <v>RNOH</v>
      </c>
      <c r="AD619" s="43">
        <v>45999</v>
      </c>
      <c r="AE619" s="2">
        <v>50</v>
      </c>
      <c r="AF619" s="2" t="s">
        <v>518</v>
      </c>
      <c r="AG619" s="2" t="s">
        <v>89</v>
      </c>
      <c r="AH619" s="2" t="s">
        <v>90</v>
      </c>
      <c r="AI619" s="2" t="s">
        <v>193</v>
      </c>
      <c r="AJ619" s="23">
        <v>310</v>
      </c>
      <c r="AK619" s="23">
        <v>7017</v>
      </c>
      <c r="AL619" s="23">
        <v>17148</v>
      </c>
      <c r="AM619" s="24">
        <v>0.40920223932820099</v>
      </c>
      <c r="AN619" s="44" t="str">
        <f>VLOOKUP(flu_aw25[[#This Row],[trust_code]],trust_lookup[],3,0)</f>
        <v>GSTT</v>
      </c>
    </row>
    <row r="620" spans="11:40" x14ac:dyDescent="0.35">
      <c r="K620" s="2" t="s">
        <v>519</v>
      </c>
      <c r="L620" s="2" t="s">
        <v>161</v>
      </c>
      <c r="M620" s="2" t="s">
        <v>162</v>
      </c>
      <c r="N620" s="2" t="s">
        <v>27</v>
      </c>
      <c r="O620" s="2" t="s">
        <v>29</v>
      </c>
      <c r="P620" s="2">
        <v>4</v>
      </c>
      <c r="R620" s="43">
        <v>45621</v>
      </c>
      <c r="S620" s="2">
        <v>48</v>
      </c>
      <c r="T620" s="2" t="s">
        <v>519</v>
      </c>
      <c r="U620" s="2" t="s">
        <v>161</v>
      </c>
      <c r="V620" s="2" t="s">
        <v>162</v>
      </c>
      <c r="W620" s="2" t="s">
        <v>27</v>
      </c>
      <c r="X620" s="23">
        <v>18</v>
      </c>
      <c r="Y620" s="23">
        <v>319</v>
      </c>
      <c r="Z620" s="23">
        <v>1002</v>
      </c>
      <c r="AA620" s="24">
        <v>0.31836327345309301</v>
      </c>
      <c r="AB620" s="14" t="str">
        <f>VLOOKUP(flu_aw24[[#This Row],[trust_code]],trust_lookup[],3,0)</f>
        <v>RNOH</v>
      </c>
      <c r="AD620" s="43">
        <v>46006</v>
      </c>
      <c r="AE620" s="2">
        <v>51</v>
      </c>
      <c r="AF620" s="2" t="s">
        <v>518</v>
      </c>
      <c r="AG620" s="2" t="s">
        <v>89</v>
      </c>
      <c r="AH620" s="2" t="s">
        <v>90</v>
      </c>
      <c r="AI620" s="2" t="s">
        <v>193</v>
      </c>
      <c r="AJ620" s="23">
        <v>307</v>
      </c>
      <c r="AK620" s="23">
        <v>7324</v>
      </c>
      <c r="AL620" s="23">
        <v>17148</v>
      </c>
      <c r="AM620" s="24">
        <v>0.42710520177280098</v>
      </c>
      <c r="AN620" s="44" t="str">
        <f>VLOOKUP(flu_aw25[[#This Row],[trust_code]],trust_lookup[],3,0)</f>
        <v>GSTT</v>
      </c>
    </row>
    <row r="621" spans="11:40" x14ac:dyDescent="0.35">
      <c r="K621" s="2" t="s">
        <v>519</v>
      </c>
      <c r="L621" s="2" t="s">
        <v>161</v>
      </c>
      <c r="M621" s="2" t="s">
        <v>162</v>
      </c>
      <c r="N621" s="2" t="s">
        <v>27</v>
      </c>
      <c r="O621" s="2" t="s">
        <v>123</v>
      </c>
      <c r="P621" s="2">
        <v>48</v>
      </c>
      <c r="R621" s="43">
        <v>45628</v>
      </c>
      <c r="S621" s="2">
        <v>49</v>
      </c>
      <c r="T621" s="2" t="s">
        <v>519</v>
      </c>
      <c r="U621" s="2" t="s">
        <v>161</v>
      </c>
      <c r="V621" s="2" t="s">
        <v>162</v>
      </c>
      <c r="W621" s="2" t="s">
        <v>27</v>
      </c>
      <c r="X621" s="23">
        <v>1</v>
      </c>
      <c r="Y621" s="23">
        <v>320</v>
      </c>
      <c r="Z621" s="23">
        <v>1002</v>
      </c>
      <c r="AA621" s="24">
        <v>0.319361277445109</v>
      </c>
      <c r="AB621" s="14" t="str">
        <f>VLOOKUP(flu_aw24[[#This Row],[trust_code]],trust_lookup[],3,0)</f>
        <v>RNOH</v>
      </c>
      <c r="AD621" s="43">
        <v>46013</v>
      </c>
      <c r="AE621" s="2">
        <v>52</v>
      </c>
      <c r="AF621" s="2" t="s">
        <v>518</v>
      </c>
      <c r="AG621" s="2" t="s">
        <v>89</v>
      </c>
      <c r="AH621" s="2" t="s">
        <v>90</v>
      </c>
      <c r="AI621" s="2" t="s">
        <v>193</v>
      </c>
      <c r="AJ621" s="23">
        <v>54</v>
      </c>
      <c r="AK621" s="23">
        <v>7378</v>
      </c>
      <c r="AL621" s="23">
        <v>17148</v>
      </c>
      <c r="AM621" s="24">
        <v>0.43025425705621601</v>
      </c>
      <c r="AN621" s="44" t="str">
        <f>VLOOKUP(flu_aw25[[#This Row],[trust_code]],trust_lookup[],3,0)</f>
        <v>GSTT</v>
      </c>
    </row>
    <row r="622" spans="11:40" x14ac:dyDescent="0.35">
      <c r="K622" s="2" t="s">
        <v>519</v>
      </c>
      <c r="L622" s="2" t="s">
        <v>161</v>
      </c>
      <c r="M622" s="2" t="s">
        <v>162</v>
      </c>
      <c r="N622" s="2" t="s">
        <v>27</v>
      </c>
      <c r="O622" s="2" t="s">
        <v>82</v>
      </c>
      <c r="P622" s="2">
        <v>11</v>
      </c>
      <c r="R622" s="43">
        <v>45635</v>
      </c>
      <c r="S622" s="2">
        <v>50</v>
      </c>
      <c r="T622" s="2" t="s">
        <v>519</v>
      </c>
      <c r="U622" s="2" t="s">
        <v>161</v>
      </c>
      <c r="V622" s="2" t="s">
        <v>162</v>
      </c>
      <c r="W622" s="2" t="s">
        <v>27</v>
      </c>
      <c r="X622" s="23">
        <v>4</v>
      </c>
      <c r="Y622" s="23">
        <v>324</v>
      </c>
      <c r="Z622" s="23">
        <v>1002</v>
      </c>
      <c r="AA622" s="24">
        <v>0.32335329341317298</v>
      </c>
      <c r="AB622" s="14" t="str">
        <f>VLOOKUP(flu_aw24[[#This Row],[trust_code]],trust_lookup[],3,0)</f>
        <v>RNOH</v>
      </c>
      <c r="AD622" s="43">
        <v>46020</v>
      </c>
      <c r="AE622" s="2">
        <v>1</v>
      </c>
      <c r="AF622" s="2" t="s">
        <v>518</v>
      </c>
      <c r="AG622" s="2" t="s">
        <v>89</v>
      </c>
      <c r="AH622" s="2" t="s">
        <v>90</v>
      </c>
      <c r="AI622" s="2" t="s">
        <v>193</v>
      </c>
      <c r="AJ622" s="23">
        <v>34</v>
      </c>
      <c r="AK622" s="23">
        <v>7412</v>
      </c>
      <c r="AL622" s="23">
        <v>17148</v>
      </c>
      <c r="AM622" s="24">
        <v>0.432236995567996</v>
      </c>
      <c r="AN622" s="44" t="str">
        <f>VLOOKUP(flu_aw25[[#This Row],[trust_code]],trust_lookup[],3,0)</f>
        <v>GSTT</v>
      </c>
    </row>
    <row r="623" spans="11:40" x14ac:dyDescent="0.35">
      <c r="K623" s="2" t="s">
        <v>519</v>
      </c>
      <c r="L623" s="2" t="s">
        <v>161</v>
      </c>
      <c r="M623" s="2" t="s">
        <v>162</v>
      </c>
      <c r="N623" s="2" t="s">
        <v>27</v>
      </c>
      <c r="O623" s="2" t="s">
        <v>88</v>
      </c>
      <c r="P623" s="2">
        <v>1</v>
      </c>
      <c r="R623" s="43">
        <v>45642</v>
      </c>
      <c r="S623" s="2">
        <v>51</v>
      </c>
      <c r="T623" s="2" t="s">
        <v>519</v>
      </c>
      <c r="U623" s="2" t="s">
        <v>161</v>
      </c>
      <c r="V623" s="2" t="s">
        <v>162</v>
      </c>
      <c r="W623" s="2" t="s">
        <v>27</v>
      </c>
      <c r="X623" s="23">
        <v>3</v>
      </c>
      <c r="Y623" s="23">
        <v>327</v>
      </c>
      <c r="Z623" s="23">
        <v>1002</v>
      </c>
      <c r="AA623" s="24">
        <v>0.32634730538922102</v>
      </c>
      <c r="AB623" s="14" t="str">
        <f>VLOOKUP(flu_aw24[[#This Row],[trust_code]],trust_lookup[],3,0)</f>
        <v>RNOH</v>
      </c>
      <c r="AD623" s="43">
        <v>46027</v>
      </c>
      <c r="AE623" s="2">
        <v>2</v>
      </c>
      <c r="AF623" s="2" t="s">
        <v>518</v>
      </c>
      <c r="AG623" s="2" t="s">
        <v>89</v>
      </c>
      <c r="AH623" s="2" t="s">
        <v>90</v>
      </c>
      <c r="AI623" s="2" t="s">
        <v>193</v>
      </c>
      <c r="AJ623" s="23">
        <v>31</v>
      </c>
      <c r="AK623" s="23">
        <v>7443</v>
      </c>
      <c r="AL623" s="23">
        <v>17148</v>
      </c>
      <c r="AM623" s="24">
        <v>0.43404478656403001</v>
      </c>
      <c r="AN623" s="44" t="str">
        <f>VLOOKUP(flu_aw25[[#This Row],[trust_code]],trust_lookup[],3,0)</f>
        <v>GSTT</v>
      </c>
    </row>
    <row r="624" spans="11:40" x14ac:dyDescent="0.35">
      <c r="K624" s="2" t="s">
        <v>519</v>
      </c>
      <c r="L624" s="2" t="s">
        <v>161</v>
      </c>
      <c r="M624" s="2" t="s">
        <v>162</v>
      </c>
      <c r="N624" s="2" t="s">
        <v>27</v>
      </c>
      <c r="O624" s="2" t="s">
        <v>141</v>
      </c>
      <c r="P624" s="2">
        <v>46</v>
      </c>
      <c r="R624" s="43">
        <v>45649</v>
      </c>
      <c r="S624" s="2">
        <v>52</v>
      </c>
      <c r="T624" s="2" t="s">
        <v>519</v>
      </c>
      <c r="U624" s="2" t="s">
        <v>161</v>
      </c>
      <c r="V624" s="2" t="s">
        <v>162</v>
      </c>
      <c r="W624" s="2" t="s">
        <v>27</v>
      </c>
      <c r="X624" s="23">
        <v>2</v>
      </c>
      <c r="Y624" s="23">
        <v>329</v>
      </c>
      <c r="Z624" s="23">
        <v>1002</v>
      </c>
      <c r="AA624" s="24">
        <v>0.32834331337325301</v>
      </c>
      <c r="AB624" s="14" t="str">
        <f>VLOOKUP(flu_aw24[[#This Row],[trust_code]],trust_lookup[],3,0)</f>
        <v>RNOH</v>
      </c>
      <c r="AD624" s="43">
        <v>46034</v>
      </c>
      <c r="AE624" s="2">
        <v>3</v>
      </c>
      <c r="AF624" s="2" t="s">
        <v>518</v>
      </c>
      <c r="AG624" s="2" t="s">
        <v>89</v>
      </c>
      <c r="AH624" s="2" t="s">
        <v>90</v>
      </c>
      <c r="AI624" s="2" t="s">
        <v>193</v>
      </c>
      <c r="AJ624" s="23">
        <v>29</v>
      </c>
      <c r="AK624" s="23">
        <v>7472</v>
      </c>
      <c r="AL624" s="23">
        <v>17148</v>
      </c>
      <c r="AM624" s="24">
        <v>0.43573594588290099</v>
      </c>
      <c r="AN624" s="44" t="str">
        <f>VLOOKUP(flu_aw25[[#This Row],[trust_code]],trust_lookup[],3,0)</f>
        <v>GSTT</v>
      </c>
    </row>
    <row r="625" spans="11:40" x14ac:dyDescent="0.35">
      <c r="K625" s="2" t="s">
        <v>519</v>
      </c>
      <c r="L625" s="2" t="s">
        <v>161</v>
      </c>
      <c r="M625" s="2" t="s">
        <v>162</v>
      </c>
      <c r="N625" s="2" t="s">
        <v>27</v>
      </c>
      <c r="O625" s="2" t="s">
        <v>61</v>
      </c>
      <c r="P625" s="2">
        <v>2</v>
      </c>
      <c r="R625" s="43">
        <v>45663</v>
      </c>
      <c r="S625" s="2">
        <v>2</v>
      </c>
      <c r="T625" s="2" t="s">
        <v>519</v>
      </c>
      <c r="U625" s="2" t="s">
        <v>161</v>
      </c>
      <c r="V625" s="2" t="s">
        <v>162</v>
      </c>
      <c r="W625" s="2" t="s">
        <v>27</v>
      </c>
      <c r="X625" s="23">
        <v>1</v>
      </c>
      <c r="Y625" s="23">
        <v>330</v>
      </c>
      <c r="Z625" s="23">
        <v>1002</v>
      </c>
      <c r="AA625" s="24">
        <v>0.329341317365269</v>
      </c>
      <c r="AB625" s="14" t="str">
        <f>VLOOKUP(flu_aw24[[#This Row],[trust_code]],trust_lookup[],3,0)</f>
        <v>RNOH</v>
      </c>
      <c r="AD625" s="43">
        <v>46041</v>
      </c>
      <c r="AE625" s="2">
        <v>4</v>
      </c>
      <c r="AF625" s="2" t="s">
        <v>518</v>
      </c>
      <c r="AG625" s="2" t="s">
        <v>89</v>
      </c>
      <c r="AH625" s="2" t="s">
        <v>90</v>
      </c>
      <c r="AI625" s="2" t="s">
        <v>193</v>
      </c>
      <c r="AJ625" s="23">
        <v>11</v>
      </c>
      <c r="AK625" s="23">
        <v>7483</v>
      </c>
      <c r="AL625" s="23">
        <v>17148</v>
      </c>
      <c r="AM625" s="24">
        <v>0.43637742010730102</v>
      </c>
      <c r="AN625" s="44" t="str">
        <f>VLOOKUP(flu_aw25[[#This Row],[trust_code]],trust_lookup[],3,0)</f>
        <v>GSTT</v>
      </c>
    </row>
    <row r="626" spans="11:40" x14ac:dyDescent="0.35">
      <c r="K626" s="2" t="s">
        <v>519</v>
      </c>
      <c r="L626" s="2" t="s">
        <v>161</v>
      </c>
      <c r="M626" s="2" t="s">
        <v>162</v>
      </c>
      <c r="N626" s="2" t="s">
        <v>27</v>
      </c>
      <c r="O626" s="2" t="s">
        <v>100</v>
      </c>
      <c r="P626" s="2">
        <v>17</v>
      </c>
      <c r="R626" s="43">
        <v>45670</v>
      </c>
      <c r="S626" s="2">
        <v>3</v>
      </c>
      <c r="T626" s="2" t="s">
        <v>519</v>
      </c>
      <c r="U626" s="2" t="s">
        <v>161</v>
      </c>
      <c r="V626" s="2" t="s">
        <v>162</v>
      </c>
      <c r="W626" s="2" t="s">
        <v>27</v>
      </c>
      <c r="X626" s="23">
        <v>6</v>
      </c>
      <c r="Y626" s="23">
        <v>336</v>
      </c>
      <c r="Z626" s="23">
        <v>1002</v>
      </c>
      <c r="AA626" s="24">
        <v>0.33532934131736503</v>
      </c>
      <c r="AB626" s="14" t="str">
        <f>VLOOKUP(flu_aw24[[#This Row],[trust_code]],trust_lookup[],3,0)</f>
        <v>RNOH</v>
      </c>
      <c r="AD626" s="43">
        <v>46048</v>
      </c>
      <c r="AE626" s="2">
        <v>5</v>
      </c>
      <c r="AF626" s="2" t="s">
        <v>518</v>
      </c>
      <c r="AG626" s="2" t="s">
        <v>89</v>
      </c>
      <c r="AH626" s="2" t="s">
        <v>90</v>
      </c>
      <c r="AI626" s="2" t="s">
        <v>193</v>
      </c>
      <c r="AJ626" s="23">
        <v>9</v>
      </c>
      <c r="AK626" s="23">
        <v>7492</v>
      </c>
      <c r="AL626" s="23">
        <v>17148</v>
      </c>
      <c r="AM626" s="24">
        <v>0.43690226265453602</v>
      </c>
      <c r="AN626" s="44" t="str">
        <f>VLOOKUP(flu_aw25[[#This Row],[trust_code]],trust_lookup[],3,0)</f>
        <v>GSTT</v>
      </c>
    </row>
    <row r="627" spans="11:40" x14ac:dyDescent="0.35">
      <c r="K627" s="2" t="s">
        <v>519</v>
      </c>
      <c r="L627" s="2" t="s">
        <v>161</v>
      </c>
      <c r="M627" s="2" t="s">
        <v>162</v>
      </c>
      <c r="N627" s="2" t="s">
        <v>27</v>
      </c>
      <c r="O627" s="2" t="s">
        <v>75</v>
      </c>
      <c r="P627" s="2">
        <v>3</v>
      </c>
      <c r="R627" s="43">
        <v>45677</v>
      </c>
      <c r="S627" s="2">
        <v>4</v>
      </c>
      <c r="T627" s="2" t="s">
        <v>519</v>
      </c>
      <c r="U627" s="2" t="s">
        <v>161</v>
      </c>
      <c r="V627" s="2" t="s">
        <v>162</v>
      </c>
      <c r="W627" s="2" t="s">
        <v>27</v>
      </c>
      <c r="X627" s="23">
        <v>4</v>
      </c>
      <c r="Y627" s="23">
        <v>340</v>
      </c>
      <c r="Z627" s="23">
        <v>1002</v>
      </c>
      <c r="AA627" s="24">
        <v>0.339321357285429</v>
      </c>
      <c r="AB627" s="14" t="str">
        <f>VLOOKUP(flu_aw24[[#This Row],[trust_code]],trust_lookup[],3,0)</f>
        <v>RNOH</v>
      </c>
      <c r="AD627" s="43">
        <v>46055</v>
      </c>
      <c r="AE627" s="2">
        <v>6</v>
      </c>
      <c r="AF627" s="2" t="s">
        <v>518</v>
      </c>
      <c r="AG627" s="2" t="s">
        <v>89</v>
      </c>
      <c r="AH627" s="2" t="s">
        <v>90</v>
      </c>
      <c r="AI627" s="2" t="s">
        <v>193</v>
      </c>
      <c r="AJ627" s="23">
        <v>7</v>
      </c>
      <c r="AK627" s="23">
        <v>7499</v>
      </c>
      <c r="AL627" s="23">
        <v>17148</v>
      </c>
      <c r="AM627" s="24">
        <v>0.437310473524609</v>
      </c>
      <c r="AN627" s="44" t="str">
        <f>VLOOKUP(flu_aw25[[#This Row],[trust_code]],trust_lookup[],3,0)</f>
        <v>GSTT</v>
      </c>
    </row>
    <row r="628" spans="11:40" x14ac:dyDescent="0.35">
      <c r="K628" s="2" t="s">
        <v>519</v>
      </c>
      <c r="L628" s="2" t="s">
        <v>161</v>
      </c>
      <c r="M628" s="2" t="s">
        <v>162</v>
      </c>
      <c r="N628" s="2" t="s">
        <v>27</v>
      </c>
      <c r="O628" s="2" t="s">
        <v>106</v>
      </c>
      <c r="P628" s="2">
        <v>6</v>
      </c>
      <c r="R628" s="43">
        <v>45684</v>
      </c>
      <c r="S628" s="2">
        <v>5</v>
      </c>
      <c r="T628" s="2" t="s">
        <v>519</v>
      </c>
      <c r="U628" s="2" t="s">
        <v>161</v>
      </c>
      <c r="V628" s="2" t="s">
        <v>162</v>
      </c>
      <c r="W628" s="2" t="s">
        <v>27</v>
      </c>
      <c r="X628" s="23">
        <v>1</v>
      </c>
      <c r="Y628" s="23">
        <v>341</v>
      </c>
      <c r="Z628" s="23">
        <v>1002</v>
      </c>
      <c r="AA628" s="24">
        <v>0.340319361277445</v>
      </c>
      <c r="AB628" s="14" t="str">
        <f>VLOOKUP(flu_aw24[[#This Row],[trust_code]],trust_lookup[],3,0)</f>
        <v>RNOH</v>
      </c>
      <c r="AD628" s="43">
        <v>46062</v>
      </c>
      <c r="AE628" s="2">
        <v>7</v>
      </c>
      <c r="AF628" s="2" t="s">
        <v>518</v>
      </c>
      <c r="AG628" s="2" t="s">
        <v>89</v>
      </c>
      <c r="AH628" s="2" t="s">
        <v>90</v>
      </c>
      <c r="AI628" s="2" t="s">
        <v>193</v>
      </c>
      <c r="AJ628" s="23">
        <v>2</v>
      </c>
      <c r="AK628" s="23">
        <v>7501</v>
      </c>
      <c r="AL628" s="23">
        <v>17148</v>
      </c>
      <c r="AM628" s="24">
        <v>0.43742710520177203</v>
      </c>
      <c r="AN628" s="44" t="str">
        <f>VLOOKUP(flu_aw25[[#This Row],[trust_code]],trust_lookup[],3,0)</f>
        <v>GSTT</v>
      </c>
    </row>
    <row r="629" spans="11:40" x14ac:dyDescent="0.35">
      <c r="K629" s="2" t="s">
        <v>519</v>
      </c>
      <c r="L629" s="2" t="s">
        <v>161</v>
      </c>
      <c r="M629" s="2" t="s">
        <v>162</v>
      </c>
      <c r="N629" s="2" t="s">
        <v>27</v>
      </c>
      <c r="O629" s="2" t="s">
        <v>112</v>
      </c>
      <c r="P629" s="2">
        <v>18</v>
      </c>
      <c r="R629" s="43">
        <v>45691</v>
      </c>
      <c r="S629" s="2">
        <v>6</v>
      </c>
      <c r="T629" s="2" t="s">
        <v>519</v>
      </c>
      <c r="U629" s="2" t="s">
        <v>161</v>
      </c>
      <c r="V629" s="2" t="s">
        <v>162</v>
      </c>
      <c r="W629" s="2" t="s">
        <v>27</v>
      </c>
      <c r="X629" s="23">
        <v>1</v>
      </c>
      <c r="Y629" s="23">
        <v>342</v>
      </c>
      <c r="Z629" s="23">
        <v>1002</v>
      </c>
      <c r="AA629" s="24">
        <v>0.34131736526946099</v>
      </c>
      <c r="AB629" s="14" t="str">
        <f>VLOOKUP(flu_aw24[[#This Row],[trust_code]],trust_lookup[],3,0)</f>
        <v>RNOH</v>
      </c>
      <c r="AD629" s="43">
        <v>46069</v>
      </c>
      <c r="AE629" s="2">
        <v>8</v>
      </c>
      <c r="AF629" s="2" t="s">
        <v>518</v>
      </c>
      <c r="AG629" s="2" t="s">
        <v>89</v>
      </c>
      <c r="AH629" s="2" t="s">
        <v>90</v>
      </c>
      <c r="AI629" s="2" t="s">
        <v>193</v>
      </c>
      <c r="AJ629" s="23">
        <v>4</v>
      </c>
      <c r="AK629" s="23">
        <v>7505</v>
      </c>
      <c r="AL629" s="23">
        <v>17148</v>
      </c>
      <c r="AM629" s="24">
        <v>0.43766036855609902</v>
      </c>
      <c r="AN629" s="44" t="str">
        <f>VLOOKUP(flu_aw25[[#This Row],[trust_code]],trust_lookup[],3,0)</f>
        <v>GSTT</v>
      </c>
    </row>
    <row r="630" spans="11:40" x14ac:dyDescent="0.35">
      <c r="K630" s="2" t="s">
        <v>519</v>
      </c>
      <c r="L630" s="2" t="s">
        <v>161</v>
      </c>
      <c r="M630" s="2" t="s">
        <v>162</v>
      </c>
      <c r="N630" s="2" t="s">
        <v>27</v>
      </c>
      <c r="O630" s="2" t="s">
        <v>36</v>
      </c>
      <c r="P630" s="2">
        <v>17</v>
      </c>
      <c r="R630" s="43">
        <v>45705</v>
      </c>
      <c r="S630" s="2">
        <v>8</v>
      </c>
      <c r="T630" s="2" t="s">
        <v>519</v>
      </c>
      <c r="U630" s="2" t="s">
        <v>161</v>
      </c>
      <c r="V630" s="2" t="s">
        <v>162</v>
      </c>
      <c r="W630" s="2" t="s">
        <v>27</v>
      </c>
      <c r="X630" s="23">
        <v>1</v>
      </c>
      <c r="Y630" s="23">
        <v>343</v>
      </c>
      <c r="Z630" s="23">
        <v>1002</v>
      </c>
      <c r="AA630" s="24">
        <v>0.34231536926147699</v>
      </c>
      <c r="AB630" s="14" t="str">
        <f>VLOOKUP(flu_aw24[[#This Row],[trust_code]],trust_lookup[],3,0)</f>
        <v>RNOH</v>
      </c>
      <c r="AD630" s="43">
        <v>46076</v>
      </c>
      <c r="AE630" s="2">
        <v>9</v>
      </c>
      <c r="AF630" s="2" t="s">
        <v>518</v>
      </c>
      <c r="AG630" s="2" t="s">
        <v>89</v>
      </c>
      <c r="AH630" s="2" t="s">
        <v>90</v>
      </c>
      <c r="AI630" s="2" t="s">
        <v>193</v>
      </c>
      <c r="AJ630" s="23">
        <v>1</v>
      </c>
      <c r="AK630" s="23">
        <v>7506</v>
      </c>
      <c r="AL630" s="23">
        <v>17148</v>
      </c>
      <c r="AM630" s="24">
        <v>0.43771868439468098</v>
      </c>
      <c r="AN630" s="44" t="str">
        <f>VLOOKUP(flu_aw25[[#This Row],[trust_code]],trust_lookup[],3,0)</f>
        <v>GSTT</v>
      </c>
    </row>
    <row r="631" spans="11:40" x14ac:dyDescent="0.35">
      <c r="K631" s="2" t="s">
        <v>519</v>
      </c>
      <c r="L631" s="2" t="s">
        <v>173</v>
      </c>
      <c r="M631" s="2" t="s">
        <v>174</v>
      </c>
      <c r="N631" s="2" t="s">
        <v>27</v>
      </c>
      <c r="O631" s="2" t="s">
        <v>68</v>
      </c>
      <c r="P631" s="2">
        <v>66</v>
      </c>
      <c r="R631" s="43">
        <v>45551</v>
      </c>
      <c r="S631" s="2">
        <v>38</v>
      </c>
      <c r="T631" s="2" t="s">
        <v>519</v>
      </c>
      <c r="U631" s="2" t="s">
        <v>164</v>
      </c>
      <c r="V631" s="2" t="s">
        <v>165</v>
      </c>
      <c r="W631" s="2" t="s">
        <v>193</v>
      </c>
      <c r="X631" s="23">
        <v>5</v>
      </c>
      <c r="Y631" s="23">
        <v>5</v>
      </c>
      <c r="Z631" s="23">
        <v>4107</v>
      </c>
      <c r="AA631" s="24">
        <v>1.21743364986608E-3</v>
      </c>
      <c r="AB631" s="14" t="str">
        <f>VLOOKUP(flu_aw24[[#This Row],[trust_code]],trust_lookup[],3,0)</f>
        <v>SLAM</v>
      </c>
      <c r="AD631" s="43">
        <v>45908</v>
      </c>
      <c r="AE631" s="2">
        <v>37</v>
      </c>
      <c r="AF631" s="2" t="s">
        <v>518</v>
      </c>
      <c r="AG631" s="2" t="s">
        <v>48</v>
      </c>
      <c r="AH631" s="2" t="s">
        <v>49</v>
      </c>
      <c r="AI631" s="2" t="s">
        <v>192</v>
      </c>
      <c r="AJ631" s="23">
        <v>1</v>
      </c>
      <c r="AK631" s="23">
        <v>1</v>
      </c>
      <c r="AL631" s="23">
        <v>4118</v>
      </c>
      <c r="AM631" s="24">
        <v>2.42836328314715E-4</v>
      </c>
      <c r="AN631" s="44" t="str">
        <f>VLOOKUP(flu_aw25[[#This Row],[trust_code]],trust_lookup[],3,0)</f>
        <v>CLCH</v>
      </c>
    </row>
    <row r="632" spans="11:40" x14ac:dyDescent="0.35">
      <c r="K632" s="2" t="s">
        <v>519</v>
      </c>
      <c r="L632" s="2" t="s">
        <v>173</v>
      </c>
      <c r="M632" s="2" t="s">
        <v>174</v>
      </c>
      <c r="N632" s="2" t="s">
        <v>27</v>
      </c>
      <c r="O632" s="2" t="s">
        <v>135</v>
      </c>
      <c r="P632" s="2">
        <v>4</v>
      </c>
      <c r="R632" s="43">
        <v>45558</v>
      </c>
      <c r="S632" s="2">
        <v>39</v>
      </c>
      <c r="T632" s="2" t="s">
        <v>519</v>
      </c>
      <c r="U632" s="2" t="s">
        <v>164</v>
      </c>
      <c r="V632" s="2" t="s">
        <v>165</v>
      </c>
      <c r="W632" s="2" t="s">
        <v>193</v>
      </c>
      <c r="X632" s="23">
        <v>1</v>
      </c>
      <c r="Y632" s="23">
        <v>6</v>
      </c>
      <c r="Z632" s="23">
        <v>4107</v>
      </c>
      <c r="AA632" s="24">
        <v>1.4609203798392899E-3</v>
      </c>
      <c r="AB632" s="14" t="str">
        <f>VLOOKUP(flu_aw24[[#This Row],[trust_code]],trust_lookup[],3,0)</f>
        <v>SLAM</v>
      </c>
      <c r="AD632" s="43">
        <v>45915</v>
      </c>
      <c r="AE632" s="2">
        <v>38</v>
      </c>
      <c r="AF632" s="2" t="s">
        <v>518</v>
      </c>
      <c r="AG632" s="2" t="s">
        <v>48</v>
      </c>
      <c r="AH632" s="2" t="s">
        <v>49</v>
      </c>
      <c r="AI632" s="2" t="s">
        <v>192</v>
      </c>
      <c r="AJ632" s="23">
        <v>3</v>
      </c>
      <c r="AK632" s="23">
        <v>4</v>
      </c>
      <c r="AL632" s="23">
        <v>4118</v>
      </c>
      <c r="AM632" s="24">
        <v>9.7134531325886295E-4</v>
      </c>
      <c r="AN632" s="44" t="str">
        <f>VLOOKUP(flu_aw25[[#This Row],[trust_code]],trust_lookup[],3,0)</f>
        <v>CLCH</v>
      </c>
    </row>
    <row r="633" spans="11:40" x14ac:dyDescent="0.35">
      <c r="K633" s="2" t="s">
        <v>519</v>
      </c>
      <c r="L633" s="2" t="s">
        <v>173</v>
      </c>
      <c r="M633" s="2" t="s">
        <v>174</v>
      </c>
      <c r="N633" s="2" t="s">
        <v>27</v>
      </c>
      <c r="O633" s="2" t="s">
        <v>54</v>
      </c>
      <c r="P633" s="2">
        <v>19</v>
      </c>
      <c r="R633" s="43">
        <v>45565</v>
      </c>
      <c r="S633" s="2">
        <v>40</v>
      </c>
      <c r="T633" s="2" t="s">
        <v>519</v>
      </c>
      <c r="U633" s="2" t="s">
        <v>164</v>
      </c>
      <c r="V633" s="2" t="s">
        <v>165</v>
      </c>
      <c r="W633" s="2" t="s">
        <v>193</v>
      </c>
      <c r="X633" s="23">
        <v>99</v>
      </c>
      <c r="Y633" s="23">
        <v>105</v>
      </c>
      <c r="Z633" s="23">
        <v>4107</v>
      </c>
      <c r="AA633" s="24">
        <v>2.5566106647187701E-2</v>
      </c>
      <c r="AB633" s="14" t="str">
        <f>VLOOKUP(flu_aw24[[#This Row],[trust_code]],trust_lookup[],3,0)</f>
        <v>SLAM</v>
      </c>
      <c r="AD633" s="43">
        <v>45922</v>
      </c>
      <c r="AE633" s="2">
        <v>39</v>
      </c>
      <c r="AF633" s="2" t="s">
        <v>518</v>
      </c>
      <c r="AG633" s="2" t="s">
        <v>48</v>
      </c>
      <c r="AH633" s="2" t="s">
        <v>49</v>
      </c>
      <c r="AI633" s="2" t="s">
        <v>192</v>
      </c>
      <c r="AJ633" s="23">
        <v>1</v>
      </c>
      <c r="AK633" s="23">
        <v>5</v>
      </c>
      <c r="AL633" s="23">
        <v>4118</v>
      </c>
      <c r="AM633" s="24">
        <v>1.21418164157357E-3</v>
      </c>
      <c r="AN633" s="44" t="str">
        <f>VLOOKUP(flu_aw25[[#This Row],[trust_code]],trust_lookup[],3,0)</f>
        <v>CLCH</v>
      </c>
    </row>
    <row r="634" spans="11:40" x14ac:dyDescent="0.35">
      <c r="K634" s="2" t="s">
        <v>519</v>
      </c>
      <c r="L634" s="2" t="s">
        <v>173</v>
      </c>
      <c r="M634" s="2" t="s">
        <v>174</v>
      </c>
      <c r="N634" s="2" t="s">
        <v>27</v>
      </c>
      <c r="O634" s="2" t="s">
        <v>94</v>
      </c>
      <c r="P634" s="2">
        <v>1</v>
      </c>
      <c r="R634" s="43">
        <v>45572</v>
      </c>
      <c r="S634" s="2">
        <v>41</v>
      </c>
      <c r="T634" s="2" t="s">
        <v>519</v>
      </c>
      <c r="U634" s="2" t="s">
        <v>164</v>
      </c>
      <c r="V634" s="2" t="s">
        <v>165</v>
      </c>
      <c r="W634" s="2" t="s">
        <v>193</v>
      </c>
      <c r="X634" s="23">
        <v>206</v>
      </c>
      <c r="Y634" s="23">
        <v>311</v>
      </c>
      <c r="Z634" s="23">
        <v>4107</v>
      </c>
      <c r="AA634" s="24">
        <v>7.5724373021670302E-2</v>
      </c>
      <c r="AB634" s="14" t="str">
        <f>VLOOKUP(flu_aw24[[#This Row],[trust_code]],trust_lookup[],3,0)</f>
        <v>SLAM</v>
      </c>
      <c r="AD634" s="43">
        <v>45929</v>
      </c>
      <c r="AE634" s="2">
        <v>40</v>
      </c>
      <c r="AF634" s="2" t="s">
        <v>518</v>
      </c>
      <c r="AG634" s="2" t="s">
        <v>48</v>
      </c>
      <c r="AH634" s="2" t="s">
        <v>49</v>
      </c>
      <c r="AI634" s="2" t="s">
        <v>192</v>
      </c>
      <c r="AJ634" s="23">
        <v>143</v>
      </c>
      <c r="AK634" s="23">
        <v>148</v>
      </c>
      <c r="AL634" s="23">
        <v>4118</v>
      </c>
      <c r="AM634" s="24">
        <v>3.5939776590577899E-2</v>
      </c>
      <c r="AN634" s="44" t="str">
        <f>VLOOKUP(flu_aw25[[#This Row],[trust_code]],trust_lookup[],3,0)</f>
        <v>CLCH</v>
      </c>
    </row>
    <row r="635" spans="11:40" x14ac:dyDescent="0.35">
      <c r="K635" s="2" t="s">
        <v>519</v>
      </c>
      <c r="L635" s="2" t="s">
        <v>173</v>
      </c>
      <c r="M635" s="2" t="s">
        <v>174</v>
      </c>
      <c r="N635" s="2" t="s">
        <v>27</v>
      </c>
      <c r="O635" s="2" t="s">
        <v>29</v>
      </c>
      <c r="P635" s="2">
        <v>3</v>
      </c>
      <c r="R635" s="43">
        <v>45579</v>
      </c>
      <c r="S635" s="2">
        <v>42</v>
      </c>
      <c r="T635" s="2" t="s">
        <v>519</v>
      </c>
      <c r="U635" s="2" t="s">
        <v>164</v>
      </c>
      <c r="V635" s="2" t="s">
        <v>165</v>
      </c>
      <c r="W635" s="2" t="s">
        <v>193</v>
      </c>
      <c r="X635" s="23">
        <v>207</v>
      </c>
      <c r="Y635" s="23">
        <v>518</v>
      </c>
      <c r="Z635" s="23">
        <v>4107</v>
      </c>
      <c r="AA635" s="24">
        <v>0.126126126126126</v>
      </c>
      <c r="AB635" s="14" t="str">
        <f>VLOOKUP(flu_aw24[[#This Row],[trust_code]],trust_lookup[],3,0)</f>
        <v>SLAM</v>
      </c>
      <c r="AD635" s="43">
        <v>45936</v>
      </c>
      <c r="AE635" s="2">
        <v>41</v>
      </c>
      <c r="AF635" s="2" t="s">
        <v>518</v>
      </c>
      <c r="AG635" s="2" t="s">
        <v>48</v>
      </c>
      <c r="AH635" s="2" t="s">
        <v>49</v>
      </c>
      <c r="AI635" s="2" t="s">
        <v>192</v>
      </c>
      <c r="AJ635" s="23">
        <v>278</v>
      </c>
      <c r="AK635" s="23">
        <v>426</v>
      </c>
      <c r="AL635" s="23">
        <v>4118</v>
      </c>
      <c r="AM635" s="24">
        <v>0.10344827586206801</v>
      </c>
      <c r="AN635" s="44" t="str">
        <f>VLOOKUP(flu_aw25[[#This Row],[trust_code]],trust_lookup[],3,0)</f>
        <v>CLCH</v>
      </c>
    </row>
    <row r="636" spans="11:40" x14ac:dyDescent="0.35">
      <c r="K636" s="2" t="s">
        <v>519</v>
      </c>
      <c r="L636" s="2" t="s">
        <v>173</v>
      </c>
      <c r="M636" s="2" t="s">
        <v>174</v>
      </c>
      <c r="N636" s="2" t="s">
        <v>27</v>
      </c>
      <c r="O636" s="2" t="s">
        <v>123</v>
      </c>
      <c r="P636" s="2">
        <v>4</v>
      </c>
      <c r="R636" s="43">
        <v>45586</v>
      </c>
      <c r="S636" s="2">
        <v>43</v>
      </c>
      <c r="T636" s="2" t="s">
        <v>519</v>
      </c>
      <c r="U636" s="2" t="s">
        <v>164</v>
      </c>
      <c r="V636" s="2" t="s">
        <v>165</v>
      </c>
      <c r="W636" s="2" t="s">
        <v>193</v>
      </c>
      <c r="X636" s="23">
        <v>137</v>
      </c>
      <c r="Y636" s="23">
        <v>655</v>
      </c>
      <c r="Z636" s="23">
        <v>4107</v>
      </c>
      <c r="AA636" s="24">
        <v>0.159483808132456</v>
      </c>
      <c r="AB636" s="14" t="str">
        <f>VLOOKUP(flu_aw24[[#This Row],[trust_code]],trust_lookup[],3,0)</f>
        <v>SLAM</v>
      </c>
      <c r="AD636" s="43">
        <v>45943</v>
      </c>
      <c r="AE636" s="2">
        <v>42</v>
      </c>
      <c r="AF636" s="2" t="s">
        <v>518</v>
      </c>
      <c r="AG636" s="2" t="s">
        <v>48</v>
      </c>
      <c r="AH636" s="2" t="s">
        <v>49</v>
      </c>
      <c r="AI636" s="2" t="s">
        <v>192</v>
      </c>
      <c r="AJ636" s="23">
        <v>214</v>
      </c>
      <c r="AK636" s="23">
        <v>640</v>
      </c>
      <c r="AL636" s="23">
        <v>4118</v>
      </c>
      <c r="AM636" s="24">
        <v>0.15541525012141799</v>
      </c>
      <c r="AN636" s="44" t="str">
        <f>VLOOKUP(flu_aw25[[#This Row],[trust_code]],trust_lookup[],3,0)</f>
        <v>CLCH</v>
      </c>
    </row>
    <row r="637" spans="11:40" x14ac:dyDescent="0.35">
      <c r="K637" s="2" t="s">
        <v>519</v>
      </c>
      <c r="L637" s="2" t="s">
        <v>173</v>
      </c>
      <c r="M637" s="2" t="s">
        <v>174</v>
      </c>
      <c r="N637" s="2" t="s">
        <v>27</v>
      </c>
      <c r="O637" s="2" t="s">
        <v>141</v>
      </c>
      <c r="P637" s="2">
        <v>3</v>
      </c>
      <c r="R637" s="43">
        <v>45593</v>
      </c>
      <c r="S637" s="2">
        <v>44</v>
      </c>
      <c r="T637" s="2" t="s">
        <v>519</v>
      </c>
      <c r="U637" s="2" t="s">
        <v>164</v>
      </c>
      <c r="V637" s="2" t="s">
        <v>165</v>
      </c>
      <c r="W637" s="2" t="s">
        <v>193</v>
      </c>
      <c r="X637" s="23">
        <v>129</v>
      </c>
      <c r="Y637" s="23">
        <v>784</v>
      </c>
      <c r="Z637" s="23">
        <v>4107</v>
      </c>
      <c r="AA637" s="24">
        <v>0.19089359629900099</v>
      </c>
      <c r="AB637" s="14" t="str">
        <f>VLOOKUP(flu_aw24[[#This Row],[trust_code]],trust_lookup[],3,0)</f>
        <v>SLAM</v>
      </c>
      <c r="AD637" s="43">
        <v>45950</v>
      </c>
      <c r="AE637" s="2">
        <v>43</v>
      </c>
      <c r="AF637" s="2" t="s">
        <v>518</v>
      </c>
      <c r="AG637" s="2" t="s">
        <v>48</v>
      </c>
      <c r="AH637" s="2" t="s">
        <v>49</v>
      </c>
      <c r="AI637" s="2" t="s">
        <v>192</v>
      </c>
      <c r="AJ637" s="23">
        <v>220</v>
      </c>
      <c r="AK637" s="23">
        <v>860</v>
      </c>
      <c r="AL637" s="23">
        <v>4118</v>
      </c>
      <c r="AM637" s="24">
        <v>0.20883924235065501</v>
      </c>
      <c r="AN637" s="44" t="str">
        <f>VLOOKUP(flu_aw25[[#This Row],[trust_code]],trust_lookup[],3,0)</f>
        <v>CLCH</v>
      </c>
    </row>
    <row r="638" spans="11:40" x14ac:dyDescent="0.35">
      <c r="K638" s="2" t="s">
        <v>519</v>
      </c>
      <c r="L638" s="2" t="s">
        <v>173</v>
      </c>
      <c r="M638" s="2" t="s">
        <v>174</v>
      </c>
      <c r="N638" s="2" t="s">
        <v>27</v>
      </c>
      <c r="O638" s="2" t="s">
        <v>61</v>
      </c>
      <c r="P638" s="2">
        <v>2</v>
      </c>
      <c r="R638" s="43">
        <v>45600</v>
      </c>
      <c r="S638" s="2">
        <v>45</v>
      </c>
      <c r="T638" s="2" t="s">
        <v>519</v>
      </c>
      <c r="U638" s="2" t="s">
        <v>164</v>
      </c>
      <c r="V638" s="2" t="s">
        <v>165</v>
      </c>
      <c r="W638" s="2" t="s">
        <v>193</v>
      </c>
      <c r="X638" s="23">
        <v>128</v>
      </c>
      <c r="Y638" s="23">
        <v>912</v>
      </c>
      <c r="Z638" s="23">
        <v>4107</v>
      </c>
      <c r="AA638" s="24">
        <v>0.222059897735573</v>
      </c>
      <c r="AB638" s="14" t="str">
        <f>VLOOKUP(flu_aw24[[#This Row],[trust_code]],trust_lookup[],3,0)</f>
        <v>SLAM</v>
      </c>
      <c r="AD638" s="43">
        <v>45957</v>
      </c>
      <c r="AE638" s="2">
        <v>44</v>
      </c>
      <c r="AF638" s="2" t="s">
        <v>518</v>
      </c>
      <c r="AG638" s="2" t="s">
        <v>48</v>
      </c>
      <c r="AH638" s="2" t="s">
        <v>49</v>
      </c>
      <c r="AI638" s="2" t="s">
        <v>192</v>
      </c>
      <c r="AJ638" s="23">
        <v>122</v>
      </c>
      <c r="AK638" s="23">
        <v>982</v>
      </c>
      <c r="AL638" s="23">
        <v>4118</v>
      </c>
      <c r="AM638" s="24">
        <v>0.238465274405051</v>
      </c>
      <c r="AN638" s="44" t="str">
        <f>VLOOKUP(flu_aw25[[#This Row],[trust_code]],trust_lookup[],3,0)</f>
        <v>CLCH</v>
      </c>
    </row>
    <row r="639" spans="11:40" x14ac:dyDescent="0.35">
      <c r="K639" s="2" t="s">
        <v>519</v>
      </c>
      <c r="L639" s="2" t="s">
        <v>173</v>
      </c>
      <c r="M639" s="2" t="s">
        <v>174</v>
      </c>
      <c r="N639" s="2" t="s">
        <v>27</v>
      </c>
      <c r="O639" s="2" t="s">
        <v>75</v>
      </c>
      <c r="P639" s="2">
        <v>2</v>
      </c>
      <c r="R639" s="43">
        <v>45607</v>
      </c>
      <c r="S639" s="2">
        <v>46</v>
      </c>
      <c r="T639" s="2" t="s">
        <v>519</v>
      </c>
      <c r="U639" s="2" t="s">
        <v>164</v>
      </c>
      <c r="V639" s="2" t="s">
        <v>165</v>
      </c>
      <c r="W639" s="2" t="s">
        <v>193</v>
      </c>
      <c r="X639" s="23">
        <v>120</v>
      </c>
      <c r="Y639" s="23">
        <v>1032</v>
      </c>
      <c r="Z639" s="23">
        <v>4107</v>
      </c>
      <c r="AA639" s="24">
        <v>0.25127830533235901</v>
      </c>
      <c r="AB639" s="14" t="str">
        <f>VLOOKUP(flu_aw24[[#This Row],[trust_code]],trust_lookup[],3,0)</f>
        <v>SLAM</v>
      </c>
      <c r="AD639" s="43">
        <v>45964</v>
      </c>
      <c r="AE639" s="2">
        <v>45</v>
      </c>
      <c r="AF639" s="2" t="s">
        <v>518</v>
      </c>
      <c r="AG639" s="2" t="s">
        <v>48</v>
      </c>
      <c r="AH639" s="2" t="s">
        <v>49</v>
      </c>
      <c r="AI639" s="2" t="s">
        <v>192</v>
      </c>
      <c r="AJ639" s="23">
        <v>113</v>
      </c>
      <c r="AK639" s="23">
        <v>1095</v>
      </c>
      <c r="AL639" s="23">
        <v>4118</v>
      </c>
      <c r="AM639" s="24">
        <v>0.26590577950461303</v>
      </c>
      <c r="AN639" s="44" t="str">
        <f>VLOOKUP(flu_aw25[[#This Row],[trust_code]],trust_lookup[],3,0)</f>
        <v>CLCH</v>
      </c>
    </row>
    <row r="640" spans="11:40" x14ac:dyDescent="0.35">
      <c r="K640" s="2" t="s">
        <v>519</v>
      </c>
      <c r="L640" s="2" t="s">
        <v>173</v>
      </c>
      <c r="M640" s="2" t="s">
        <v>174</v>
      </c>
      <c r="N640" s="2" t="s">
        <v>27</v>
      </c>
      <c r="O640" s="2" t="s">
        <v>112</v>
      </c>
      <c r="P640" s="2">
        <v>3</v>
      </c>
      <c r="R640" s="43">
        <v>45614</v>
      </c>
      <c r="S640" s="2">
        <v>47</v>
      </c>
      <c r="T640" s="2" t="s">
        <v>519</v>
      </c>
      <c r="U640" s="2" t="s">
        <v>164</v>
      </c>
      <c r="V640" s="2" t="s">
        <v>165</v>
      </c>
      <c r="W640" s="2" t="s">
        <v>193</v>
      </c>
      <c r="X640" s="23">
        <v>78</v>
      </c>
      <c r="Y640" s="23">
        <v>1110</v>
      </c>
      <c r="Z640" s="23">
        <v>4107</v>
      </c>
      <c r="AA640" s="24">
        <v>0.27027027027027001</v>
      </c>
      <c r="AB640" s="14" t="str">
        <f>VLOOKUP(flu_aw24[[#This Row],[trust_code]],trust_lookup[],3,0)</f>
        <v>SLAM</v>
      </c>
      <c r="AD640" s="43">
        <v>45971</v>
      </c>
      <c r="AE640" s="2">
        <v>46</v>
      </c>
      <c r="AF640" s="2" t="s">
        <v>518</v>
      </c>
      <c r="AG640" s="2" t="s">
        <v>48</v>
      </c>
      <c r="AH640" s="2" t="s">
        <v>49</v>
      </c>
      <c r="AI640" s="2" t="s">
        <v>192</v>
      </c>
      <c r="AJ640" s="23">
        <v>103</v>
      </c>
      <c r="AK640" s="23">
        <v>1198</v>
      </c>
      <c r="AL640" s="23">
        <v>4118</v>
      </c>
      <c r="AM640" s="24">
        <v>0.290917921321029</v>
      </c>
      <c r="AN640" s="44" t="str">
        <f>VLOOKUP(flu_aw25[[#This Row],[trust_code]],trust_lookup[],3,0)</f>
        <v>CLCH</v>
      </c>
    </row>
    <row r="641" spans="11:40" x14ac:dyDescent="0.35">
      <c r="K641" s="2" t="s">
        <v>519</v>
      </c>
      <c r="L641" s="2" t="s">
        <v>173</v>
      </c>
      <c r="M641" s="2" t="s">
        <v>174</v>
      </c>
      <c r="N641" s="2" t="s">
        <v>27</v>
      </c>
      <c r="O641" s="2" t="s">
        <v>36</v>
      </c>
      <c r="P641" s="2">
        <v>5</v>
      </c>
      <c r="R641" s="43">
        <v>45621</v>
      </c>
      <c r="S641" s="2">
        <v>48</v>
      </c>
      <c r="T641" s="2" t="s">
        <v>519</v>
      </c>
      <c r="U641" s="2" t="s">
        <v>164</v>
      </c>
      <c r="V641" s="2" t="s">
        <v>165</v>
      </c>
      <c r="W641" s="2" t="s">
        <v>193</v>
      </c>
      <c r="X641" s="23">
        <v>49</v>
      </c>
      <c r="Y641" s="23">
        <v>1159</v>
      </c>
      <c r="Z641" s="23">
        <v>4107</v>
      </c>
      <c r="AA641" s="24">
        <v>0.28220112003895698</v>
      </c>
      <c r="AB641" s="14" t="str">
        <f>VLOOKUP(flu_aw24[[#This Row],[trust_code]],trust_lookup[],3,0)</f>
        <v>SLAM</v>
      </c>
      <c r="AD641" s="43">
        <v>45978</v>
      </c>
      <c r="AE641" s="2">
        <v>47</v>
      </c>
      <c r="AF641" s="2" t="s">
        <v>518</v>
      </c>
      <c r="AG641" s="2" t="s">
        <v>48</v>
      </c>
      <c r="AH641" s="2" t="s">
        <v>49</v>
      </c>
      <c r="AI641" s="2" t="s">
        <v>192</v>
      </c>
      <c r="AJ641" s="23">
        <v>80</v>
      </c>
      <c r="AK641" s="23">
        <v>1278</v>
      </c>
      <c r="AL641" s="23">
        <v>4118</v>
      </c>
      <c r="AM641" s="24">
        <v>0.31034482758620602</v>
      </c>
      <c r="AN641" s="44" t="str">
        <f>VLOOKUP(flu_aw25[[#This Row],[trust_code]],trust_lookup[],3,0)</f>
        <v>CLCH</v>
      </c>
    </row>
    <row r="642" spans="11:40" x14ac:dyDescent="0.35">
      <c r="K642" s="2" t="s">
        <v>519</v>
      </c>
      <c r="L642" s="2" t="s">
        <v>182</v>
      </c>
      <c r="M642" s="2" t="s">
        <v>183</v>
      </c>
      <c r="N642" s="2" t="s">
        <v>27</v>
      </c>
      <c r="O642" s="2" t="s">
        <v>68</v>
      </c>
      <c r="P642" s="2">
        <v>1184</v>
      </c>
      <c r="R642" s="43">
        <v>45628</v>
      </c>
      <c r="S642" s="2">
        <v>49</v>
      </c>
      <c r="T642" s="2" t="s">
        <v>519</v>
      </c>
      <c r="U642" s="2" t="s">
        <v>164</v>
      </c>
      <c r="V642" s="2" t="s">
        <v>165</v>
      </c>
      <c r="W642" s="2" t="s">
        <v>193</v>
      </c>
      <c r="X642" s="23">
        <v>49</v>
      </c>
      <c r="Y642" s="23">
        <v>1208</v>
      </c>
      <c r="Z642" s="23">
        <v>4107</v>
      </c>
      <c r="AA642" s="24">
        <v>0.294131969807645</v>
      </c>
      <c r="AB642" s="14" t="str">
        <f>VLOOKUP(flu_aw24[[#This Row],[trust_code]],trust_lookup[],3,0)</f>
        <v>SLAM</v>
      </c>
      <c r="AD642" s="43">
        <v>45985</v>
      </c>
      <c r="AE642" s="2">
        <v>48</v>
      </c>
      <c r="AF642" s="2" t="s">
        <v>518</v>
      </c>
      <c r="AG642" s="2" t="s">
        <v>48</v>
      </c>
      <c r="AH642" s="2" t="s">
        <v>49</v>
      </c>
      <c r="AI642" s="2" t="s">
        <v>192</v>
      </c>
      <c r="AJ642" s="23">
        <v>72</v>
      </c>
      <c r="AK642" s="23">
        <v>1350</v>
      </c>
      <c r="AL642" s="23">
        <v>4118</v>
      </c>
      <c r="AM642" s="24">
        <v>0.327829043224866</v>
      </c>
      <c r="AN642" s="44" t="str">
        <f>VLOOKUP(flu_aw25[[#This Row],[trust_code]],trust_lookup[],3,0)</f>
        <v>CLCH</v>
      </c>
    </row>
    <row r="643" spans="11:40" x14ac:dyDescent="0.35">
      <c r="K643" s="2" t="s">
        <v>519</v>
      </c>
      <c r="L643" s="2" t="s">
        <v>182</v>
      </c>
      <c r="M643" s="2" t="s">
        <v>183</v>
      </c>
      <c r="N643" s="2" t="s">
        <v>27</v>
      </c>
      <c r="O643" s="2" t="s">
        <v>135</v>
      </c>
      <c r="P643" s="2">
        <v>64</v>
      </c>
      <c r="R643" s="43">
        <v>45635</v>
      </c>
      <c r="S643" s="2">
        <v>50</v>
      </c>
      <c r="T643" s="2" t="s">
        <v>519</v>
      </c>
      <c r="U643" s="2" t="s">
        <v>164</v>
      </c>
      <c r="V643" s="2" t="s">
        <v>165</v>
      </c>
      <c r="W643" s="2" t="s">
        <v>193</v>
      </c>
      <c r="X643" s="23">
        <v>35</v>
      </c>
      <c r="Y643" s="23">
        <v>1243</v>
      </c>
      <c r="Z643" s="23">
        <v>4107</v>
      </c>
      <c r="AA643" s="24">
        <v>0.302654005356708</v>
      </c>
      <c r="AB643" s="14" t="str">
        <f>VLOOKUP(flu_aw24[[#This Row],[trust_code]],trust_lookup[],3,0)</f>
        <v>SLAM</v>
      </c>
      <c r="AD643" s="43">
        <v>45992</v>
      </c>
      <c r="AE643" s="2">
        <v>49</v>
      </c>
      <c r="AF643" s="2" t="s">
        <v>518</v>
      </c>
      <c r="AG643" s="2" t="s">
        <v>48</v>
      </c>
      <c r="AH643" s="2" t="s">
        <v>49</v>
      </c>
      <c r="AI643" s="2" t="s">
        <v>192</v>
      </c>
      <c r="AJ643" s="23">
        <v>45</v>
      </c>
      <c r="AK643" s="23">
        <v>1395</v>
      </c>
      <c r="AL643" s="23">
        <v>4118</v>
      </c>
      <c r="AM643" s="24">
        <v>0.33875667799902798</v>
      </c>
      <c r="AN643" s="44" t="str">
        <f>VLOOKUP(flu_aw25[[#This Row],[trust_code]],trust_lookup[],3,0)</f>
        <v>CLCH</v>
      </c>
    </row>
    <row r="644" spans="11:40" x14ac:dyDescent="0.35">
      <c r="K644" s="2" t="s">
        <v>519</v>
      </c>
      <c r="L644" s="2" t="s">
        <v>182</v>
      </c>
      <c r="M644" s="2" t="s">
        <v>183</v>
      </c>
      <c r="N644" s="2" t="s">
        <v>27</v>
      </c>
      <c r="O644" s="2" t="s">
        <v>54</v>
      </c>
      <c r="P644" s="2">
        <v>405</v>
      </c>
      <c r="R644" s="43">
        <v>45642</v>
      </c>
      <c r="S644" s="2">
        <v>51</v>
      </c>
      <c r="T644" s="2" t="s">
        <v>519</v>
      </c>
      <c r="U644" s="2" t="s">
        <v>164</v>
      </c>
      <c r="V644" s="2" t="s">
        <v>165</v>
      </c>
      <c r="W644" s="2" t="s">
        <v>193</v>
      </c>
      <c r="X644" s="23">
        <v>24</v>
      </c>
      <c r="Y644" s="23">
        <v>1267</v>
      </c>
      <c r="Z644" s="23">
        <v>4107</v>
      </c>
      <c r="AA644" s="24">
        <v>0.30849768687606499</v>
      </c>
      <c r="AB644" s="14" t="str">
        <f>VLOOKUP(flu_aw24[[#This Row],[trust_code]],trust_lookup[],3,0)</f>
        <v>SLAM</v>
      </c>
      <c r="AD644" s="43">
        <v>45999</v>
      </c>
      <c r="AE644" s="2">
        <v>50</v>
      </c>
      <c r="AF644" s="2" t="s">
        <v>518</v>
      </c>
      <c r="AG644" s="2" t="s">
        <v>48</v>
      </c>
      <c r="AH644" s="2" t="s">
        <v>49</v>
      </c>
      <c r="AI644" s="2" t="s">
        <v>192</v>
      </c>
      <c r="AJ644" s="23">
        <v>51</v>
      </c>
      <c r="AK644" s="23">
        <v>1446</v>
      </c>
      <c r="AL644" s="23">
        <v>4118</v>
      </c>
      <c r="AM644" s="24">
        <v>0.35114133074307902</v>
      </c>
      <c r="AN644" s="44" t="str">
        <f>VLOOKUP(flu_aw25[[#This Row],[trust_code]],trust_lookup[],3,0)</f>
        <v>CLCH</v>
      </c>
    </row>
    <row r="645" spans="11:40" x14ac:dyDescent="0.35">
      <c r="K645" s="2" t="s">
        <v>519</v>
      </c>
      <c r="L645" s="2" t="s">
        <v>182</v>
      </c>
      <c r="M645" s="2" t="s">
        <v>183</v>
      </c>
      <c r="N645" s="2" t="s">
        <v>27</v>
      </c>
      <c r="O645" s="2" t="s">
        <v>129</v>
      </c>
      <c r="P645" s="2">
        <v>7</v>
      </c>
      <c r="R645" s="43">
        <v>45649</v>
      </c>
      <c r="S645" s="2">
        <v>52</v>
      </c>
      <c r="T645" s="2" t="s">
        <v>519</v>
      </c>
      <c r="U645" s="2" t="s">
        <v>164</v>
      </c>
      <c r="V645" s="2" t="s">
        <v>165</v>
      </c>
      <c r="W645" s="2" t="s">
        <v>193</v>
      </c>
      <c r="X645" s="23">
        <v>3</v>
      </c>
      <c r="Y645" s="23">
        <v>1270</v>
      </c>
      <c r="Z645" s="23">
        <v>4107</v>
      </c>
      <c r="AA645" s="24">
        <v>0.309228147065984</v>
      </c>
      <c r="AB645" s="14" t="str">
        <f>VLOOKUP(flu_aw24[[#This Row],[trust_code]],trust_lookup[],3,0)</f>
        <v>SLAM</v>
      </c>
      <c r="AD645" s="43">
        <v>46006</v>
      </c>
      <c r="AE645" s="2">
        <v>51</v>
      </c>
      <c r="AF645" s="2" t="s">
        <v>518</v>
      </c>
      <c r="AG645" s="2" t="s">
        <v>48</v>
      </c>
      <c r="AH645" s="2" t="s">
        <v>49</v>
      </c>
      <c r="AI645" s="2" t="s">
        <v>192</v>
      </c>
      <c r="AJ645" s="23">
        <v>69</v>
      </c>
      <c r="AK645" s="23">
        <v>1515</v>
      </c>
      <c r="AL645" s="23">
        <v>4118</v>
      </c>
      <c r="AM645" s="24">
        <v>0.36789703739679402</v>
      </c>
      <c r="AN645" s="44" t="str">
        <f>VLOOKUP(flu_aw25[[#This Row],[trust_code]],trust_lookup[],3,0)</f>
        <v>CLCH</v>
      </c>
    </row>
    <row r="646" spans="11:40" x14ac:dyDescent="0.35">
      <c r="K646" s="2" t="s">
        <v>519</v>
      </c>
      <c r="L646" s="2" t="s">
        <v>182</v>
      </c>
      <c r="M646" s="2" t="s">
        <v>183</v>
      </c>
      <c r="N646" s="2" t="s">
        <v>27</v>
      </c>
      <c r="O646" s="2" t="s">
        <v>47</v>
      </c>
      <c r="P646" s="2">
        <v>18</v>
      </c>
      <c r="R646" s="43">
        <v>45656</v>
      </c>
      <c r="S646" s="2">
        <v>1</v>
      </c>
      <c r="T646" s="2" t="s">
        <v>519</v>
      </c>
      <c r="U646" s="2" t="s">
        <v>164</v>
      </c>
      <c r="V646" s="2" t="s">
        <v>165</v>
      </c>
      <c r="W646" s="2" t="s">
        <v>193</v>
      </c>
      <c r="X646" s="23">
        <v>3</v>
      </c>
      <c r="Y646" s="23">
        <v>1273</v>
      </c>
      <c r="Z646" s="23">
        <v>4107</v>
      </c>
      <c r="AA646" s="24">
        <v>0.30995860725590402</v>
      </c>
      <c r="AB646" s="14" t="str">
        <f>VLOOKUP(flu_aw24[[#This Row],[trust_code]],trust_lookup[],3,0)</f>
        <v>SLAM</v>
      </c>
      <c r="AD646" s="43">
        <v>46013</v>
      </c>
      <c r="AE646" s="2">
        <v>52</v>
      </c>
      <c r="AF646" s="2" t="s">
        <v>518</v>
      </c>
      <c r="AG646" s="2" t="s">
        <v>48</v>
      </c>
      <c r="AH646" s="2" t="s">
        <v>49</v>
      </c>
      <c r="AI646" s="2" t="s">
        <v>192</v>
      </c>
      <c r="AJ646" s="23">
        <v>10</v>
      </c>
      <c r="AK646" s="23">
        <v>1525</v>
      </c>
      <c r="AL646" s="23">
        <v>4118</v>
      </c>
      <c r="AM646" s="24">
        <v>0.37032540067994102</v>
      </c>
      <c r="AN646" s="44" t="str">
        <f>VLOOKUP(flu_aw25[[#This Row],[trust_code]],trust_lookup[],3,0)</f>
        <v>CLCH</v>
      </c>
    </row>
    <row r="647" spans="11:40" x14ac:dyDescent="0.35">
      <c r="K647" s="2" t="s">
        <v>519</v>
      </c>
      <c r="L647" s="2" t="s">
        <v>182</v>
      </c>
      <c r="M647" s="2" t="s">
        <v>183</v>
      </c>
      <c r="N647" s="2" t="s">
        <v>27</v>
      </c>
      <c r="O647" s="2" t="s">
        <v>94</v>
      </c>
      <c r="P647" s="2">
        <v>27</v>
      </c>
      <c r="R647" s="43">
        <v>45663</v>
      </c>
      <c r="S647" s="2">
        <v>2</v>
      </c>
      <c r="T647" s="2" t="s">
        <v>519</v>
      </c>
      <c r="U647" s="2" t="s">
        <v>164</v>
      </c>
      <c r="V647" s="2" t="s">
        <v>165</v>
      </c>
      <c r="W647" s="2" t="s">
        <v>193</v>
      </c>
      <c r="X647" s="23">
        <v>9</v>
      </c>
      <c r="Y647" s="23">
        <v>1282</v>
      </c>
      <c r="Z647" s="23">
        <v>4107</v>
      </c>
      <c r="AA647" s="24">
        <v>0.312149987825663</v>
      </c>
      <c r="AB647" s="14" t="str">
        <f>VLOOKUP(flu_aw24[[#This Row],[trust_code]],trust_lookup[],3,0)</f>
        <v>SLAM</v>
      </c>
      <c r="AD647" s="43">
        <v>46020</v>
      </c>
      <c r="AE647" s="2">
        <v>1</v>
      </c>
      <c r="AF647" s="2" t="s">
        <v>518</v>
      </c>
      <c r="AG647" s="2" t="s">
        <v>48</v>
      </c>
      <c r="AH647" s="2" t="s">
        <v>49</v>
      </c>
      <c r="AI647" s="2" t="s">
        <v>192</v>
      </c>
      <c r="AJ647" s="23">
        <v>6</v>
      </c>
      <c r="AK647" s="23">
        <v>1531</v>
      </c>
      <c r="AL647" s="23">
        <v>4118</v>
      </c>
      <c r="AM647" s="24">
        <v>0.37178241864983003</v>
      </c>
      <c r="AN647" s="44" t="str">
        <f>VLOOKUP(flu_aw25[[#This Row],[trust_code]],trust_lookup[],3,0)</f>
        <v>CLCH</v>
      </c>
    </row>
    <row r="648" spans="11:40" x14ac:dyDescent="0.35">
      <c r="K648" s="2" t="s">
        <v>519</v>
      </c>
      <c r="L648" s="2" t="s">
        <v>182</v>
      </c>
      <c r="M648" s="2" t="s">
        <v>183</v>
      </c>
      <c r="N648" s="2" t="s">
        <v>27</v>
      </c>
      <c r="O648" s="2" t="s">
        <v>29</v>
      </c>
      <c r="P648" s="2">
        <v>53</v>
      </c>
      <c r="R648" s="43">
        <v>45670</v>
      </c>
      <c r="S648" s="2">
        <v>3</v>
      </c>
      <c r="T648" s="2" t="s">
        <v>519</v>
      </c>
      <c r="U648" s="2" t="s">
        <v>164</v>
      </c>
      <c r="V648" s="2" t="s">
        <v>165</v>
      </c>
      <c r="W648" s="2" t="s">
        <v>193</v>
      </c>
      <c r="X648" s="23">
        <v>10</v>
      </c>
      <c r="Y648" s="23">
        <v>1292</v>
      </c>
      <c r="Z648" s="23">
        <v>4107</v>
      </c>
      <c r="AA648" s="24">
        <v>0.31458485512539502</v>
      </c>
      <c r="AB648" s="14" t="str">
        <f>VLOOKUP(flu_aw24[[#This Row],[trust_code]],trust_lookup[],3,0)</f>
        <v>SLAM</v>
      </c>
      <c r="AD648" s="43">
        <v>46027</v>
      </c>
      <c r="AE648" s="2">
        <v>2</v>
      </c>
      <c r="AF648" s="2" t="s">
        <v>518</v>
      </c>
      <c r="AG648" s="2" t="s">
        <v>48</v>
      </c>
      <c r="AH648" s="2" t="s">
        <v>49</v>
      </c>
      <c r="AI648" s="2" t="s">
        <v>192</v>
      </c>
      <c r="AJ648" s="23">
        <v>5</v>
      </c>
      <c r="AK648" s="23">
        <v>1536</v>
      </c>
      <c r="AL648" s="23">
        <v>4118</v>
      </c>
      <c r="AM648" s="24">
        <v>0.37299660029140302</v>
      </c>
      <c r="AN648" s="44" t="str">
        <f>VLOOKUP(flu_aw25[[#This Row],[trust_code]],trust_lookup[],3,0)</f>
        <v>CLCH</v>
      </c>
    </row>
    <row r="649" spans="11:40" x14ac:dyDescent="0.35">
      <c r="K649" s="2" t="s">
        <v>519</v>
      </c>
      <c r="L649" s="2" t="s">
        <v>182</v>
      </c>
      <c r="M649" s="2" t="s">
        <v>183</v>
      </c>
      <c r="N649" s="2" t="s">
        <v>27</v>
      </c>
      <c r="O649" s="2" t="s">
        <v>123</v>
      </c>
      <c r="P649" s="2">
        <v>237</v>
      </c>
      <c r="R649" s="43">
        <v>45677</v>
      </c>
      <c r="S649" s="2">
        <v>4</v>
      </c>
      <c r="T649" s="2" t="s">
        <v>519</v>
      </c>
      <c r="U649" s="2" t="s">
        <v>164</v>
      </c>
      <c r="V649" s="2" t="s">
        <v>165</v>
      </c>
      <c r="W649" s="2" t="s">
        <v>193</v>
      </c>
      <c r="X649" s="23">
        <v>7</v>
      </c>
      <c r="Y649" s="23">
        <v>1299</v>
      </c>
      <c r="Z649" s="23">
        <v>4107</v>
      </c>
      <c r="AA649" s="24">
        <v>0.31628926223520798</v>
      </c>
      <c r="AB649" s="14" t="str">
        <f>VLOOKUP(flu_aw24[[#This Row],[trust_code]],trust_lookup[],3,0)</f>
        <v>SLAM</v>
      </c>
      <c r="AD649" s="43">
        <v>46034</v>
      </c>
      <c r="AE649" s="2">
        <v>3</v>
      </c>
      <c r="AF649" s="2" t="s">
        <v>518</v>
      </c>
      <c r="AG649" s="2" t="s">
        <v>48</v>
      </c>
      <c r="AH649" s="2" t="s">
        <v>49</v>
      </c>
      <c r="AI649" s="2" t="s">
        <v>192</v>
      </c>
      <c r="AJ649" s="23">
        <v>3</v>
      </c>
      <c r="AK649" s="23">
        <v>1539</v>
      </c>
      <c r="AL649" s="23">
        <v>4118</v>
      </c>
      <c r="AM649" s="24">
        <v>0.373725109276347</v>
      </c>
      <c r="AN649" s="44" t="str">
        <f>VLOOKUP(flu_aw25[[#This Row],[trust_code]],trust_lookup[],3,0)</f>
        <v>CLCH</v>
      </c>
    </row>
    <row r="650" spans="11:40" x14ac:dyDescent="0.35">
      <c r="K650" s="2" t="s">
        <v>519</v>
      </c>
      <c r="L650" s="2" t="s">
        <v>182</v>
      </c>
      <c r="M650" s="2" t="s">
        <v>183</v>
      </c>
      <c r="N650" s="2" t="s">
        <v>27</v>
      </c>
      <c r="O650" s="2" t="s">
        <v>82</v>
      </c>
      <c r="P650" s="2">
        <v>34</v>
      </c>
      <c r="R650" s="43">
        <v>45684</v>
      </c>
      <c r="S650" s="2">
        <v>5</v>
      </c>
      <c r="T650" s="2" t="s">
        <v>519</v>
      </c>
      <c r="U650" s="2" t="s">
        <v>164</v>
      </c>
      <c r="V650" s="2" t="s">
        <v>165</v>
      </c>
      <c r="W650" s="2" t="s">
        <v>193</v>
      </c>
      <c r="X650" s="23">
        <v>2</v>
      </c>
      <c r="Y650" s="23">
        <v>1301</v>
      </c>
      <c r="Z650" s="23">
        <v>4107</v>
      </c>
      <c r="AA650" s="24">
        <v>0.31677623569515401</v>
      </c>
      <c r="AB650" s="14" t="str">
        <f>VLOOKUP(flu_aw24[[#This Row],[trust_code]],trust_lookup[],3,0)</f>
        <v>SLAM</v>
      </c>
      <c r="AD650" s="43">
        <v>46041</v>
      </c>
      <c r="AE650" s="2">
        <v>4</v>
      </c>
      <c r="AF650" s="2" t="s">
        <v>518</v>
      </c>
      <c r="AG650" s="2" t="s">
        <v>48</v>
      </c>
      <c r="AH650" s="2" t="s">
        <v>49</v>
      </c>
      <c r="AI650" s="2" t="s">
        <v>192</v>
      </c>
      <c r="AJ650" s="23">
        <v>3</v>
      </c>
      <c r="AK650" s="23">
        <v>1542</v>
      </c>
      <c r="AL650" s="23">
        <v>4118</v>
      </c>
      <c r="AM650" s="24">
        <v>0.37445361826129098</v>
      </c>
      <c r="AN650" s="44" t="str">
        <f>VLOOKUP(flu_aw25[[#This Row],[trust_code]],trust_lookup[],3,0)</f>
        <v>CLCH</v>
      </c>
    </row>
    <row r="651" spans="11:40" x14ac:dyDescent="0.35">
      <c r="K651" s="2" t="s">
        <v>519</v>
      </c>
      <c r="L651" s="2" t="s">
        <v>182</v>
      </c>
      <c r="M651" s="2" t="s">
        <v>183</v>
      </c>
      <c r="N651" s="2" t="s">
        <v>27</v>
      </c>
      <c r="O651" s="2" t="s">
        <v>88</v>
      </c>
      <c r="P651" s="2">
        <v>37</v>
      </c>
      <c r="R651" s="43">
        <v>45691</v>
      </c>
      <c r="S651" s="2">
        <v>6</v>
      </c>
      <c r="T651" s="2" t="s">
        <v>519</v>
      </c>
      <c r="U651" s="2" t="s">
        <v>164</v>
      </c>
      <c r="V651" s="2" t="s">
        <v>165</v>
      </c>
      <c r="W651" s="2" t="s">
        <v>193</v>
      </c>
      <c r="X651" s="23">
        <v>1</v>
      </c>
      <c r="Y651" s="23">
        <v>1302</v>
      </c>
      <c r="Z651" s="23">
        <v>4107</v>
      </c>
      <c r="AA651" s="24">
        <v>0.31701972242512699</v>
      </c>
      <c r="AB651" s="14" t="str">
        <f>VLOOKUP(flu_aw24[[#This Row],[trust_code]],trust_lookup[],3,0)</f>
        <v>SLAM</v>
      </c>
      <c r="AD651" s="43">
        <v>46048</v>
      </c>
      <c r="AE651" s="2">
        <v>5</v>
      </c>
      <c r="AF651" s="2" t="s">
        <v>518</v>
      </c>
      <c r="AG651" s="2" t="s">
        <v>48</v>
      </c>
      <c r="AH651" s="2" t="s">
        <v>49</v>
      </c>
      <c r="AI651" s="2" t="s">
        <v>192</v>
      </c>
      <c r="AJ651" s="23">
        <v>4</v>
      </c>
      <c r="AK651" s="23">
        <v>1546</v>
      </c>
      <c r="AL651" s="23">
        <v>4118</v>
      </c>
      <c r="AM651" s="24">
        <v>0.37542496357455002</v>
      </c>
      <c r="AN651" s="44" t="str">
        <f>VLOOKUP(flu_aw25[[#This Row],[trust_code]],trust_lookup[],3,0)</f>
        <v>CLCH</v>
      </c>
    </row>
    <row r="652" spans="11:40" x14ac:dyDescent="0.35">
      <c r="K652" s="2" t="s">
        <v>519</v>
      </c>
      <c r="L652" s="2" t="s">
        <v>182</v>
      </c>
      <c r="M652" s="2" t="s">
        <v>183</v>
      </c>
      <c r="N652" s="2" t="s">
        <v>27</v>
      </c>
      <c r="O652" s="2" t="s">
        <v>141</v>
      </c>
      <c r="P652" s="2">
        <v>372</v>
      </c>
      <c r="R652" s="43">
        <v>45698</v>
      </c>
      <c r="S652" s="2">
        <v>7</v>
      </c>
      <c r="T652" s="2" t="s">
        <v>519</v>
      </c>
      <c r="U652" s="2" t="s">
        <v>164</v>
      </c>
      <c r="V652" s="2" t="s">
        <v>165</v>
      </c>
      <c r="W652" s="2" t="s">
        <v>193</v>
      </c>
      <c r="X652" s="23">
        <v>1</v>
      </c>
      <c r="Y652" s="23">
        <v>1303</v>
      </c>
      <c r="Z652" s="23">
        <v>4107</v>
      </c>
      <c r="AA652" s="24">
        <v>0.31726320915510098</v>
      </c>
      <c r="AB652" s="14" t="str">
        <f>VLOOKUP(flu_aw24[[#This Row],[trust_code]],trust_lookup[],3,0)</f>
        <v>SLAM</v>
      </c>
      <c r="AD652" s="43">
        <v>46062</v>
      </c>
      <c r="AE652" s="2">
        <v>7</v>
      </c>
      <c r="AF652" s="2" t="s">
        <v>518</v>
      </c>
      <c r="AG652" s="2" t="s">
        <v>48</v>
      </c>
      <c r="AH652" s="2" t="s">
        <v>49</v>
      </c>
      <c r="AI652" s="2" t="s">
        <v>192</v>
      </c>
      <c r="AJ652" s="23">
        <v>1</v>
      </c>
      <c r="AK652" s="23">
        <v>1547</v>
      </c>
      <c r="AL652" s="23">
        <v>4118</v>
      </c>
      <c r="AM652" s="24">
        <v>0.37566779990286497</v>
      </c>
      <c r="AN652" s="44" t="str">
        <f>VLOOKUP(flu_aw25[[#This Row],[trust_code]],trust_lookup[],3,0)</f>
        <v>CLCH</v>
      </c>
    </row>
    <row r="653" spans="11:40" x14ac:dyDescent="0.35">
      <c r="K653" s="2" t="s">
        <v>519</v>
      </c>
      <c r="L653" s="2" t="s">
        <v>182</v>
      </c>
      <c r="M653" s="2" t="s">
        <v>183</v>
      </c>
      <c r="N653" s="2" t="s">
        <v>27</v>
      </c>
      <c r="O653" s="2" t="s">
        <v>61</v>
      </c>
      <c r="P653" s="2">
        <v>30</v>
      </c>
      <c r="R653" s="43">
        <v>45705</v>
      </c>
      <c r="S653" s="2">
        <v>8</v>
      </c>
      <c r="T653" s="2" t="s">
        <v>519</v>
      </c>
      <c r="U653" s="2" t="s">
        <v>164</v>
      </c>
      <c r="V653" s="2" t="s">
        <v>165</v>
      </c>
      <c r="W653" s="2" t="s">
        <v>193</v>
      </c>
      <c r="X653" s="23">
        <v>2</v>
      </c>
      <c r="Y653" s="23">
        <v>1305</v>
      </c>
      <c r="Z653" s="23">
        <v>4107</v>
      </c>
      <c r="AA653" s="24">
        <v>0.31775018261504701</v>
      </c>
      <c r="AB653" s="14" t="str">
        <f>VLOOKUP(flu_aw24[[#This Row],[trust_code]],trust_lookup[],3,0)</f>
        <v>SLAM</v>
      </c>
      <c r="AD653" s="43">
        <v>46069</v>
      </c>
      <c r="AE653" s="2">
        <v>8</v>
      </c>
      <c r="AF653" s="2" t="s">
        <v>518</v>
      </c>
      <c r="AG653" s="2" t="s">
        <v>48</v>
      </c>
      <c r="AH653" s="2" t="s">
        <v>49</v>
      </c>
      <c r="AI653" s="2" t="s">
        <v>192</v>
      </c>
      <c r="AJ653" s="23">
        <v>1</v>
      </c>
      <c r="AK653" s="23">
        <v>1548</v>
      </c>
      <c r="AL653" s="23">
        <v>4118</v>
      </c>
      <c r="AM653" s="24">
        <v>0.37591063623117998</v>
      </c>
      <c r="AN653" s="44" t="str">
        <f>VLOOKUP(flu_aw25[[#This Row],[trust_code]],trust_lookup[],3,0)</f>
        <v>CLCH</v>
      </c>
    </row>
    <row r="654" spans="11:40" x14ac:dyDescent="0.35">
      <c r="K654" s="2" t="s">
        <v>519</v>
      </c>
      <c r="L654" s="2" t="s">
        <v>182</v>
      </c>
      <c r="M654" s="2" t="s">
        <v>183</v>
      </c>
      <c r="N654" s="2" t="s">
        <v>27</v>
      </c>
      <c r="O654" s="2" t="s">
        <v>100</v>
      </c>
      <c r="P654" s="2">
        <v>156</v>
      </c>
      <c r="R654" s="43">
        <v>45712</v>
      </c>
      <c r="S654" s="2">
        <v>9</v>
      </c>
      <c r="T654" s="2" t="s">
        <v>519</v>
      </c>
      <c r="U654" s="2" t="s">
        <v>164</v>
      </c>
      <c r="V654" s="2" t="s">
        <v>165</v>
      </c>
      <c r="W654" s="2" t="s">
        <v>193</v>
      </c>
      <c r="X654" s="23">
        <v>2</v>
      </c>
      <c r="Y654" s="23">
        <v>1307</v>
      </c>
      <c r="Z654" s="23">
        <v>4107</v>
      </c>
      <c r="AA654" s="24">
        <v>0.31823715607499298</v>
      </c>
      <c r="AB654" s="14" t="str">
        <f>VLOOKUP(flu_aw24[[#This Row],[trust_code]],trust_lookup[],3,0)</f>
        <v>SLAM</v>
      </c>
      <c r="AD654" s="43">
        <v>46076</v>
      </c>
      <c r="AE654" s="2">
        <v>9</v>
      </c>
      <c r="AF654" s="2" t="s">
        <v>518</v>
      </c>
      <c r="AG654" s="2" t="s">
        <v>48</v>
      </c>
      <c r="AH654" s="2" t="s">
        <v>49</v>
      </c>
      <c r="AI654" s="2" t="s">
        <v>192</v>
      </c>
      <c r="AJ654" s="23">
        <v>1</v>
      </c>
      <c r="AK654" s="23">
        <v>1549</v>
      </c>
      <c r="AL654" s="23">
        <v>4118</v>
      </c>
      <c r="AM654" s="24">
        <v>0.376153472559494</v>
      </c>
      <c r="AN654" s="44" t="str">
        <f>VLOOKUP(flu_aw25[[#This Row],[trust_code]],trust_lookup[],3,0)</f>
        <v>CLCH</v>
      </c>
    </row>
    <row r="655" spans="11:40" x14ac:dyDescent="0.35">
      <c r="K655" s="2" t="s">
        <v>519</v>
      </c>
      <c r="L655" s="2" t="s">
        <v>182</v>
      </c>
      <c r="M655" s="2" t="s">
        <v>183</v>
      </c>
      <c r="N655" s="2" t="s">
        <v>27</v>
      </c>
      <c r="O655" s="2" t="s">
        <v>75</v>
      </c>
      <c r="P655" s="2">
        <v>44</v>
      </c>
      <c r="R655" s="43">
        <v>45726</v>
      </c>
      <c r="S655" s="2">
        <v>11</v>
      </c>
      <c r="T655" s="2" t="s">
        <v>519</v>
      </c>
      <c r="U655" s="2" t="s">
        <v>164</v>
      </c>
      <c r="V655" s="2" t="s">
        <v>165</v>
      </c>
      <c r="W655" s="2" t="s">
        <v>193</v>
      </c>
      <c r="X655" s="23">
        <v>1</v>
      </c>
      <c r="Y655" s="23">
        <v>1308</v>
      </c>
      <c r="Z655" s="23">
        <v>4107</v>
      </c>
      <c r="AA655" s="24">
        <v>0.31848064280496702</v>
      </c>
      <c r="AB655" s="14" t="str">
        <f>VLOOKUP(flu_aw24[[#This Row],[trust_code]],trust_lookup[],3,0)</f>
        <v>SLAM</v>
      </c>
      <c r="AD655" s="43">
        <v>45908</v>
      </c>
      <c r="AE655" s="2">
        <v>37</v>
      </c>
      <c r="AF655" s="2" t="s">
        <v>518</v>
      </c>
      <c r="AG655" s="2" t="s">
        <v>101</v>
      </c>
      <c r="AH655" s="2" t="s">
        <v>102</v>
      </c>
      <c r="AI655" s="2" t="s">
        <v>192</v>
      </c>
      <c r="AJ655" s="23">
        <v>4</v>
      </c>
      <c r="AK655" s="23">
        <v>4</v>
      </c>
      <c r="AL655" s="23">
        <v>11552</v>
      </c>
      <c r="AM655" s="24">
        <v>3.4626038781163402E-4</v>
      </c>
      <c r="AN655" s="44" t="str">
        <f>VLOOKUP(flu_aw25[[#This Row],[trust_code]],trust_lookup[],3,0)</f>
        <v>Imperial</v>
      </c>
    </row>
    <row r="656" spans="11:40" x14ac:dyDescent="0.35">
      <c r="K656" s="2" t="s">
        <v>519</v>
      </c>
      <c r="L656" s="2" t="s">
        <v>182</v>
      </c>
      <c r="M656" s="2" t="s">
        <v>183</v>
      </c>
      <c r="N656" s="2" t="s">
        <v>27</v>
      </c>
      <c r="O656" s="2" t="s">
        <v>106</v>
      </c>
      <c r="P656" s="2">
        <v>80</v>
      </c>
      <c r="R656" s="43">
        <v>45733</v>
      </c>
      <c r="S656" s="2">
        <v>12</v>
      </c>
      <c r="T656" s="2" t="s">
        <v>519</v>
      </c>
      <c r="U656" s="2" t="s">
        <v>164</v>
      </c>
      <c r="V656" s="2" t="s">
        <v>165</v>
      </c>
      <c r="W656" s="2" t="s">
        <v>193</v>
      </c>
      <c r="X656" s="23">
        <v>1</v>
      </c>
      <c r="Y656" s="23">
        <v>1309</v>
      </c>
      <c r="Z656" s="23">
        <v>4107</v>
      </c>
      <c r="AA656" s="24">
        <v>0.31872412953494</v>
      </c>
      <c r="AB656" s="14" t="str">
        <f>VLOOKUP(flu_aw24[[#This Row],[trust_code]],trust_lookup[],3,0)</f>
        <v>SLAM</v>
      </c>
      <c r="AD656" s="43">
        <v>45915</v>
      </c>
      <c r="AE656" s="2">
        <v>38</v>
      </c>
      <c r="AF656" s="2" t="s">
        <v>518</v>
      </c>
      <c r="AG656" s="2" t="s">
        <v>101</v>
      </c>
      <c r="AH656" s="2" t="s">
        <v>102</v>
      </c>
      <c r="AI656" s="2" t="s">
        <v>192</v>
      </c>
      <c r="AJ656" s="23">
        <v>18</v>
      </c>
      <c r="AK656" s="23">
        <v>22</v>
      </c>
      <c r="AL656" s="23">
        <v>11552</v>
      </c>
      <c r="AM656" s="24">
        <v>1.9044321329639801E-3</v>
      </c>
      <c r="AN656" s="44" t="str">
        <f>VLOOKUP(flu_aw25[[#This Row],[trust_code]],trust_lookup[],3,0)</f>
        <v>Imperial</v>
      </c>
    </row>
    <row r="657" spans="11:40" x14ac:dyDescent="0.35">
      <c r="K657" s="2" t="s">
        <v>519</v>
      </c>
      <c r="L657" s="2" t="s">
        <v>182</v>
      </c>
      <c r="M657" s="2" t="s">
        <v>183</v>
      </c>
      <c r="N657" s="2" t="s">
        <v>27</v>
      </c>
      <c r="O657" s="2" t="s">
        <v>112</v>
      </c>
      <c r="P657" s="2">
        <v>260</v>
      </c>
      <c r="R657" s="43">
        <v>45740</v>
      </c>
      <c r="S657" s="2">
        <v>13</v>
      </c>
      <c r="T657" s="2" t="s">
        <v>519</v>
      </c>
      <c r="U657" s="2" t="s">
        <v>164</v>
      </c>
      <c r="V657" s="2" t="s">
        <v>165</v>
      </c>
      <c r="W657" s="2" t="s">
        <v>193</v>
      </c>
      <c r="X657" s="23">
        <v>1</v>
      </c>
      <c r="Y657" s="23">
        <v>1310</v>
      </c>
      <c r="Z657" s="23">
        <v>4107</v>
      </c>
      <c r="AA657" s="24">
        <v>0.31896761626491299</v>
      </c>
      <c r="AB657" s="14" t="str">
        <f>VLOOKUP(flu_aw24[[#This Row],[trust_code]],trust_lookup[],3,0)</f>
        <v>SLAM</v>
      </c>
      <c r="AD657" s="43">
        <v>45922</v>
      </c>
      <c r="AE657" s="2">
        <v>39</v>
      </c>
      <c r="AF657" s="2" t="s">
        <v>518</v>
      </c>
      <c r="AG657" s="2" t="s">
        <v>101</v>
      </c>
      <c r="AH657" s="2" t="s">
        <v>102</v>
      </c>
      <c r="AI657" s="2" t="s">
        <v>192</v>
      </c>
      <c r="AJ657" s="23">
        <v>13</v>
      </c>
      <c r="AK657" s="23">
        <v>35</v>
      </c>
      <c r="AL657" s="23">
        <v>11552</v>
      </c>
      <c r="AM657" s="24">
        <v>3.0297783933517998E-3</v>
      </c>
      <c r="AN657" s="44" t="str">
        <f>VLOOKUP(flu_aw25[[#This Row],[trust_code]],trust_lookup[],3,0)</f>
        <v>Imperial</v>
      </c>
    </row>
    <row r="658" spans="11:40" x14ac:dyDescent="0.35">
      <c r="K658" s="2" t="s">
        <v>519</v>
      </c>
      <c r="L658" s="2" t="s">
        <v>182</v>
      </c>
      <c r="M658" s="2" t="s">
        <v>183</v>
      </c>
      <c r="N658" s="2" t="s">
        <v>27</v>
      </c>
      <c r="O658" s="2" t="s">
        <v>36</v>
      </c>
      <c r="P658" s="2">
        <v>197</v>
      </c>
      <c r="R658" s="43">
        <v>45544</v>
      </c>
      <c r="S658" s="2">
        <v>37</v>
      </c>
      <c r="T658" s="2" t="s">
        <v>519</v>
      </c>
      <c r="U658" s="2" t="s">
        <v>167</v>
      </c>
      <c r="V658" s="2" t="s">
        <v>168</v>
      </c>
      <c r="W658" s="2" t="s">
        <v>194</v>
      </c>
      <c r="X658" s="23">
        <v>2</v>
      </c>
      <c r="Y658" s="23">
        <v>2</v>
      </c>
      <c r="Z658" s="23">
        <v>2475</v>
      </c>
      <c r="AA658" s="24">
        <v>8.0808080808080797E-4</v>
      </c>
      <c r="AB658" s="14" t="str">
        <f>VLOOKUP(flu_aw24[[#This Row],[trust_code]],trust_lookup[],3,0)</f>
        <v>SWL&amp;StG</v>
      </c>
      <c r="AD658" s="43">
        <v>45929</v>
      </c>
      <c r="AE658" s="2">
        <v>40</v>
      </c>
      <c r="AF658" s="2" t="s">
        <v>518</v>
      </c>
      <c r="AG658" s="2" t="s">
        <v>101</v>
      </c>
      <c r="AH658" s="2" t="s">
        <v>102</v>
      </c>
      <c r="AI658" s="2" t="s">
        <v>192</v>
      </c>
      <c r="AJ658" s="23">
        <v>311</v>
      </c>
      <c r="AK658" s="23">
        <v>346</v>
      </c>
      <c r="AL658" s="23">
        <v>11552</v>
      </c>
      <c r="AM658" s="24">
        <v>2.99515235457063E-2</v>
      </c>
      <c r="AN658" s="44" t="str">
        <f>VLOOKUP(flu_aw25[[#This Row],[trust_code]],trust_lookup[],3,0)</f>
        <v>Imperial</v>
      </c>
    </row>
    <row r="659" spans="11:40" x14ac:dyDescent="0.35">
      <c r="K659" s="2" t="s">
        <v>519</v>
      </c>
      <c r="L659" s="2" t="s">
        <v>185</v>
      </c>
      <c r="M659" s="2" t="s">
        <v>186</v>
      </c>
      <c r="N659" s="2" t="s">
        <v>27</v>
      </c>
      <c r="O659" s="2" t="s">
        <v>68</v>
      </c>
      <c r="P659" s="2">
        <v>346</v>
      </c>
      <c r="R659" s="43">
        <v>45551</v>
      </c>
      <c r="S659" s="2">
        <v>38</v>
      </c>
      <c r="T659" s="2" t="s">
        <v>519</v>
      </c>
      <c r="U659" s="2" t="s">
        <v>167</v>
      </c>
      <c r="V659" s="2" t="s">
        <v>168</v>
      </c>
      <c r="W659" s="2" t="s">
        <v>194</v>
      </c>
      <c r="X659" s="23">
        <v>1</v>
      </c>
      <c r="Y659" s="23">
        <v>3</v>
      </c>
      <c r="Z659" s="23">
        <v>2475</v>
      </c>
      <c r="AA659" s="24">
        <v>1.21212121212121E-3</v>
      </c>
      <c r="AB659" s="14" t="str">
        <f>VLOOKUP(flu_aw24[[#This Row],[trust_code]],trust_lookup[],3,0)</f>
        <v>SWL&amp;StG</v>
      </c>
      <c r="AD659" s="43">
        <v>45936</v>
      </c>
      <c r="AE659" s="2">
        <v>41</v>
      </c>
      <c r="AF659" s="2" t="s">
        <v>518</v>
      </c>
      <c r="AG659" s="2" t="s">
        <v>101</v>
      </c>
      <c r="AH659" s="2" t="s">
        <v>102</v>
      </c>
      <c r="AI659" s="2" t="s">
        <v>192</v>
      </c>
      <c r="AJ659" s="23">
        <v>476</v>
      </c>
      <c r="AK659" s="23">
        <v>822</v>
      </c>
      <c r="AL659" s="23">
        <v>11552</v>
      </c>
      <c r="AM659" s="24">
        <v>7.1156509695290804E-2</v>
      </c>
      <c r="AN659" s="44" t="str">
        <f>VLOOKUP(flu_aw25[[#This Row],[trust_code]],trust_lookup[],3,0)</f>
        <v>Imperial</v>
      </c>
    </row>
    <row r="660" spans="11:40" x14ac:dyDescent="0.35">
      <c r="K660" s="2" t="s">
        <v>519</v>
      </c>
      <c r="L660" s="2" t="s">
        <v>185</v>
      </c>
      <c r="M660" s="2" t="s">
        <v>186</v>
      </c>
      <c r="N660" s="2" t="s">
        <v>27</v>
      </c>
      <c r="O660" s="2" t="s">
        <v>135</v>
      </c>
      <c r="P660" s="2">
        <v>32</v>
      </c>
      <c r="R660" s="43">
        <v>45558</v>
      </c>
      <c r="S660" s="2">
        <v>39</v>
      </c>
      <c r="T660" s="2" t="s">
        <v>519</v>
      </c>
      <c r="U660" s="2" t="s">
        <v>167</v>
      </c>
      <c r="V660" s="2" t="s">
        <v>168</v>
      </c>
      <c r="W660" s="2" t="s">
        <v>194</v>
      </c>
      <c r="X660" s="23">
        <v>3</v>
      </c>
      <c r="Y660" s="23">
        <v>6</v>
      </c>
      <c r="Z660" s="23">
        <v>2475</v>
      </c>
      <c r="AA660" s="24">
        <v>2.4242424242424199E-3</v>
      </c>
      <c r="AB660" s="14" t="str">
        <f>VLOOKUP(flu_aw24[[#This Row],[trust_code]],trust_lookup[],3,0)</f>
        <v>SWL&amp;StG</v>
      </c>
      <c r="AD660" s="43">
        <v>45943</v>
      </c>
      <c r="AE660" s="2">
        <v>42</v>
      </c>
      <c r="AF660" s="2" t="s">
        <v>518</v>
      </c>
      <c r="AG660" s="2" t="s">
        <v>101</v>
      </c>
      <c r="AH660" s="2" t="s">
        <v>102</v>
      </c>
      <c r="AI660" s="2" t="s">
        <v>192</v>
      </c>
      <c r="AJ660" s="23">
        <v>606</v>
      </c>
      <c r="AK660" s="23">
        <v>1428</v>
      </c>
      <c r="AL660" s="23">
        <v>11552</v>
      </c>
      <c r="AM660" s="24">
        <v>0.123614958448753</v>
      </c>
      <c r="AN660" s="44" t="str">
        <f>VLOOKUP(flu_aw25[[#This Row],[trust_code]],trust_lookup[],3,0)</f>
        <v>Imperial</v>
      </c>
    </row>
    <row r="661" spans="11:40" x14ac:dyDescent="0.35">
      <c r="K661" s="2" t="s">
        <v>519</v>
      </c>
      <c r="L661" s="2" t="s">
        <v>185</v>
      </c>
      <c r="M661" s="2" t="s">
        <v>186</v>
      </c>
      <c r="N661" s="2" t="s">
        <v>27</v>
      </c>
      <c r="O661" s="2" t="s">
        <v>54</v>
      </c>
      <c r="P661" s="2">
        <v>142</v>
      </c>
      <c r="R661" s="43">
        <v>45565</v>
      </c>
      <c r="S661" s="2">
        <v>40</v>
      </c>
      <c r="T661" s="2" t="s">
        <v>519</v>
      </c>
      <c r="U661" s="2" t="s">
        <v>167</v>
      </c>
      <c r="V661" s="2" t="s">
        <v>168</v>
      </c>
      <c r="W661" s="2" t="s">
        <v>194</v>
      </c>
      <c r="X661" s="23">
        <v>115</v>
      </c>
      <c r="Y661" s="23">
        <v>121</v>
      </c>
      <c r="Z661" s="23">
        <v>2475</v>
      </c>
      <c r="AA661" s="24">
        <v>4.8888888888888801E-2</v>
      </c>
      <c r="AB661" s="14" t="str">
        <f>VLOOKUP(flu_aw24[[#This Row],[trust_code]],trust_lookup[],3,0)</f>
        <v>SWL&amp;StG</v>
      </c>
      <c r="AD661" s="43">
        <v>45950</v>
      </c>
      <c r="AE661" s="2">
        <v>43</v>
      </c>
      <c r="AF661" s="2" t="s">
        <v>518</v>
      </c>
      <c r="AG661" s="2" t="s">
        <v>101</v>
      </c>
      <c r="AH661" s="2" t="s">
        <v>102</v>
      </c>
      <c r="AI661" s="2" t="s">
        <v>192</v>
      </c>
      <c r="AJ661" s="23">
        <v>558</v>
      </c>
      <c r="AK661" s="23">
        <v>1986</v>
      </c>
      <c r="AL661" s="23">
        <v>11552</v>
      </c>
      <c r="AM661" s="24">
        <v>0.17191828254847599</v>
      </c>
      <c r="AN661" s="44" t="str">
        <f>VLOOKUP(flu_aw25[[#This Row],[trust_code]],trust_lookup[],3,0)</f>
        <v>Imperial</v>
      </c>
    </row>
    <row r="662" spans="11:40" x14ac:dyDescent="0.35">
      <c r="K662" s="2" t="s">
        <v>519</v>
      </c>
      <c r="L662" s="2" t="s">
        <v>185</v>
      </c>
      <c r="M662" s="2" t="s">
        <v>186</v>
      </c>
      <c r="N662" s="2" t="s">
        <v>27</v>
      </c>
      <c r="O662" s="2" t="s">
        <v>129</v>
      </c>
      <c r="P662" s="2">
        <v>3</v>
      </c>
      <c r="R662" s="43">
        <v>45572</v>
      </c>
      <c r="S662" s="2">
        <v>41</v>
      </c>
      <c r="T662" s="2" t="s">
        <v>519</v>
      </c>
      <c r="U662" s="2" t="s">
        <v>167</v>
      </c>
      <c r="V662" s="2" t="s">
        <v>168</v>
      </c>
      <c r="W662" s="2" t="s">
        <v>194</v>
      </c>
      <c r="X662" s="23">
        <v>131</v>
      </c>
      <c r="Y662" s="23">
        <v>252</v>
      </c>
      <c r="Z662" s="23">
        <v>2475</v>
      </c>
      <c r="AA662" s="24">
        <v>0.101818181818181</v>
      </c>
      <c r="AB662" s="14" t="str">
        <f>VLOOKUP(flu_aw24[[#This Row],[trust_code]],trust_lookup[],3,0)</f>
        <v>SWL&amp;StG</v>
      </c>
      <c r="AD662" s="43">
        <v>45957</v>
      </c>
      <c r="AE662" s="2">
        <v>44</v>
      </c>
      <c r="AF662" s="2" t="s">
        <v>518</v>
      </c>
      <c r="AG662" s="2" t="s">
        <v>101</v>
      </c>
      <c r="AH662" s="2" t="s">
        <v>102</v>
      </c>
      <c r="AI662" s="2" t="s">
        <v>192</v>
      </c>
      <c r="AJ662" s="23">
        <v>416</v>
      </c>
      <c r="AK662" s="23">
        <v>2402</v>
      </c>
      <c r="AL662" s="23">
        <v>11552</v>
      </c>
      <c r="AM662" s="24">
        <v>0.20792936288088601</v>
      </c>
      <c r="AN662" s="44" t="str">
        <f>VLOOKUP(flu_aw25[[#This Row],[trust_code]],trust_lookup[],3,0)</f>
        <v>Imperial</v>
      </c>
    </row>
    <row r="663" spans="11:40" x14ac:dyDescent="0.35">
      <c r="K663" s="2" t="s">
        <v>519</v>
      </c>
      <c r="L663" s="2" t="s">
        <v>185</v>
      </c>
      <c r="M663" s="2" t="s">
        <v>186</v>
      </c>
      <c r="N663" s="2" t="s">
        <v>27</v>
      </c>
      <c r="O663" s="2" t="s">
        <v>47</v>
      </c>
      <c r="P663" s="2">
        <v>6</v>
      </c>
      <c r="R663" s="43">
        <v>45579</v>
      </c>
      <c r="S663" s="2">
        <v>42</v>
      </c>
      <c r="T663" s="2" t="s">
        <v>519</v>
      </c>
      <c r="U663" s="2" t="s">
        <v>167</v>
      </c>
      <c r="V663" s="2" t="s">
        <v>168</v>
      </c>
      <c r="W663" s="2" t="s">
        <v>194</v>
      </c>
      <c r="X663" s="23">
        <v>89</v>
      </c>
      <c r="Y663" s="23">
        <v>341</v>
      </c>
      <c r="Z663" s="23">
        <v>2475</v>
      </c>
      <c r="AA663" s="24">
        <v>0.137777777777777</v>
      </c>
      <c r="AB663" s="14" t="str">
        <f>VLOOKUP(flu_aw24[[#This Row],[trust_code]],trust_lookup[],3,0)</f>
        <v>SWL&amp;StG</v>
      </c>
      <c r="AD663" s="43">
        <v>45964</v>
      </c>
      <c r="AE663" s="2">
        <v>45</v>
      </c>
      <c r="AF663" s="2" t="s">
        <v>518</v>
      </c>
      <c r="AG663" s="2" t="s">
        <v>101</v>
      </c>
      <c r="AH663" s="2" t="s">
        <v>102</v>
      </c>
      <c r="AI663" s="2" t="s">
        <v>192</v>
      </c>
      <c r="AJ663" s="23">
        <v>500</v>
      </c>
      <c r="AK663" s="23">
        <v>2902</v>
      </c>
      <c r="AL663" s="23">
        <v>11552</v>
      </c>
      <c r="AM663" s="24">
        <v>0.25121191135734</v>
      </c>
      <c r="AN663" s="44" t="str">
        <f>VLOOKUP(flu_aw25[[#This Row],[trust_code]],trust_lookup[],3,0)</f>
        <v>Imperial</v>
      </c>
    </row>
    <row r="664" spans="11:40" x14ac:dyDescent="0.35">
      <c r="K664" s="2" t="s">
        <v>519</v>
      </c>
      <c r="L664" s="2" t="s">
        <v>185</v>
      </c>
      <c r="M664" s="2" t="s">
        <v>186</v>
      </c>
      <c r="N664" s="2" t="s">
        <v>27</v>
      </c>
      <c r="O664" s="2" t="s">
        <v>94</v>
      </c>
      <c r="P664" s="2">
        <v>6</v>
      </c>
      <c r="R664" s="43">
        <v>45586</v>
      </c>
      <c r="S664" s="2">
        <v>43</v>
      </c>
      <c r="T664" s="2" t="s">
        <v>519</v>
      </c>
      <c r="U664" s="2" t="s">
        <v>167</v>
      </c>
      <c r="V664" s="2" t="s">
        <v>168</v>
      </c>
      <c r="W664" s="2" t="s">
        <v>194</v>
      </c>
      <c r="X664" s="23">
        <v>85</v>
      </c>
      <c r="Y664" s="23">
        <v>426</v>
      </c>
      <c r="Z664" s="23">
        <v>2475</v>
      </c>
      <c r="AA664" s="24">
        <v>0.17212121212121201</v>
      </c>
      <c r="AB664" s="14" t="str">
        <f>VLOOKUP(flu_aw24[[#This Row],[trust_code]],trust_lookup[],3,0)</f>
        <v>SWL&amp;StG</v>
      </c>
      <c r="AD664" s="43">
        <v>45971</v>
      </c>
      <c r="AE664" s="2">
        <v>46</v>
      </c>
      <c r="AF664" s="2" t="s">
        <v>518</v>
      </c>
      <c r="AG664" s="2" t="s">
        <v>101</v>
      </c>
      <c r="AH664" s="2" t="s">
        <v>102</v>
      </c>
      <c r="AI664" s="2" t="s">
        <v>192</v>
      </c>
      <c r="AJ664" s="23">
        <v>419</v>
      </c>
      <c r="AK664" s="23">
        <v>3321</v>
      </c>
      <c r="AL664" s="23">
        <v>11552</v>
      </c>
      <c r="AM664" s="24">
        <v>0.28748268698060903</v>
      </c>
      <c r="AN664" s="44" t="str">
        <f>VLOOKUP(flu_aw25[[#This Row],[trust_code]],trust_lookup[],3,0)</f>
        <v>Imperial</v>
      </c>
    </row>
    <row r="665" spans="11:40" x14ac:dyDescent="0.35">
      <c r="K665" s="2" t="s">
        <v>519</v>
      </c>
      <c r="L665" s="2" t="s">
        <v>185</v>
      </c>
      <c r="M665" s="2" t="s">
        <v>186</v>
      </c>
      <c r="N665" s="2" t="s">
        <v>27</v>
      </c>
      <c r="O665" s="2" t="s">
        <v>29</v>
      </c>
      <c r="P665" s="2">
        <v>16</v>
      </c>
      <c r="R665" s="43">
        <v>45593</v>
      </c>
      <c r="S665" s="2">
        <v>44</v>
      </c>
      <c r="T665" s="2" t="s">
        <v>519</v>
      </c>
      <c r="U665" s="2" t="s">
        <v>167</v>
      </c>
      <c r="V665" s="2" t="s">
        <v>168</v>
      </c>
      <c r="W665" s="2" t="s">
        <v>194</v>
      </c>
      <c r="X665" s="23">
        <v>57</v>
      </c>
      <c r="Y665" s="23">
        <v>483</v>
      </c>
      <c r="Z665" s="23">
        <v>2475</v>
      </c>
      <c r="AA665" s="24">
        <v>0.19515151515151499</v>
      </c>
      <c r="AB665" s="14" t="str">
        <f>VLOOKUP(flu_aw24[[#This Row],[trust_code]],trust_lookup[],3,0)</f>
        <v>SWL&amp;StG</v>
      </c>
      <c r="AD665" s="43">
        <v>45978</v>
      </c>
      <c r="AE665" s="2">
        <v>47</v>
      </c>
      <c r="AF665" s="2" t="s">
        <v>518</v>
      </c>
      <c r="AG665" s="2" t="s">
        <v>101</v>
      </c>
      <c r="AH665" s="2" t="s">
        <v>102</v>
      </c>
      <c r="AI665" s="2" t="s">
        <v>192</v>
      </c>
      <c r="AJ665" s="23">
        <v>272</v>
      </c>
      <c r="AK665" s="23">
        <v>3593</v>
      </c>
      <c r="AL665" s="23">
        <v>11552</v>
      </c>
      <c r="AM665" s="24">
        <v>0.31102839335179999</v>
      </c>
      <c r="AN665" s="44" t="str">
        <f>VLOOKUP(flu_aw25[[#This Row],[trust_code]],trust_lookup[],3,0)</f>
        <v>Imperial</v>
      </c>
    </row>
    <row r="666" spans="11:40" x14ac:dyDescent="0.35">
      <c r="K666" s="2" t="s">
        <v>519</v>
      </c>
      <c r="L666" s="2" t="s">
        <v>185</v>
      </c>
      <c r="M666" s="2" t="s">
        <v>186</v>
      </c>
      <c r="N666" s="2" t="s">
        <v>27</v>
      </c>
      <c r="O666" s="2" t="s">
        <v>123</v>
      </c>
      <c r="P666" s="2">
        <v>69</v>
      </c>
      <c r="R666" s="43">
        <v>45600</v>
      </c>
      <c r="S666" s="2">
        <v>45</v>
      </c>
      <c r="T666" s="2" t="s">
        <v>519</v>
      </c>
      <c r="U666" s="2" t="s">
        <v>167</v>
      </c>
      <c r="V666" s="2" t="s">
        <v>168</v>
      </c>
      <c r="W666" s="2" t="s">
        <v>194</v>
      </c>
      <c r="X666" s="23">
        <v>48</v>
      </c>
      <c r="Y666" s="23">
        <v>531</v>
      </c>
      <c r="Z666" s="23">
        <v>2475</v>
      </c>
      <c r="AA666" s="24">
        <v>0.21454545454545401</v>
      </c>
      <c r="AB666" s="14" t="str">
        <f>VLOOKUP(flu_aw24[[#This Row],[trust_code]],trust_lookup[],3,0)</f>
        <v>SWL&amp;StG</v>
      </c>
      <c r="AD666" s="43">
        <v>45985</v>
      </c>
      <c r="AE666" s="2">
        <v>48</v>
      </c>
      <c r="AF666" s="2" t="s">
        <v>518</v>
      </c>
      <c r="AG666" s="2" t="s">
        <v>101</v>
      </c>
      <c r="AH666" s="2" t="s">
        <v>102</v>
      </c>
      <c r="AI666" s="2" t="s">
        <v>192</v>
      </c>
      <c r="AJ666" s="23">
        <v>200</v>
      </c>
      <c r="AK666" s="23">
        <v>3793</v>
      </c>
      <c r="AL666" s="23">
        <v>11552</v>
      </c>
      <c r="AM666" s="24">
        <v>0.32834141274238199</v>
      </c>
      <c r="AN666" s="44" t="str">
        <f>VLOOKUP(flu_aw25[[#This Row],[trust_code]],trust_lookup[],3,0)</f>
        <v>Imperial</v>
      </c>
    </row>
    <row r="667" spans="11:40" x14ac:dyDescent="0.35">
      <c r="K667" s="2" t="s">
        <v>519</v>
      </c>
      <c r="L667" s="2" t="s">
        <v>185</v>
      </c>
      <c r="M667" s="2" t="s">
        <v>186</v>
      </c>
      <c r="N667" s="2" t="s">
        <v>27</v>
      </c>
      <c r="O667" s="2" t="s">
        <v>82</v>
      </c>
      <c r="P667" s="2">
        <v>7</v>
      </c>
      <c r="R667" s="43">
        <v>45607</v>
      </c>
      <c r="S667" s="2">
        <v>46</v>
      </c>
      <c r="T667" s="2" t="s">
        <v>519</v>
      </c>
      <c r="U667" s="2" t="s">
        <v>167</v>
      </c>
      <c r="V667" s="2" t="s">
        <v>168</v>
      </c>
      <c r="W667" s="2" t="s">
        <v>194</v>
      </c>
      <c r="X667" s="23">
        <v>28</v>
      </c>
      <c r="Y667" s="23">
        <v>559</v>
      </c>
      <c r="Z667" s="23">
        <v>2475</v>
      </c>
      <c r="AA667" s="24">
        <v>0.22585858585858501</v>
      </c>
      <c r="AB667" s="14" t="str">
        <f>VLOOKUP(flu_aw24[[#This Row],[trust_code]],trust_lookup[],3,0)</f>
        <v>SWL&amp;StG</v>
      </c>
      <c r="AD667" s="43">
        <v>45992</v>
      </c>
      <c r="AE667" s="2">
        <v>49</v>
      </c>
      <c r="AF667" s="2" t="s">
        <v>518</v>
      </c>
      <c r="AG667" s="2" t="s">
        <v>101</v>
      </c>
      <c r="AH667" s="2" t="s">
        <v>102</v>
      </c>
      <c r="AI667" s="2" t="s">
        <v>192</v>
      </c>
      <c r="AJ667" s="23">
        <v>103</v>
      </c>
      <c r="AK667" s="23">
        <v>3896</v>
      </c>
      <c r="AL667" s="23">
        <v>11552</v>
      </c>
      <c r="AM667" s="24">
        <v>0.33725761772853102</v>
      </c>
      <c r="AN667" s="44" t="str">
        <f>VLOOKUP(flu_aw25[[#This Row],[trust_code]],trust_lookup[],3,0)</f>
        <v>Imperial</v>
      </c>
    </row>
    <row r="668" spans="11:40" x14ac:dyDescent="0.35">
      <c r="K668" s="2" t="s">
        <v>519</v>
      </c>
      <c r="L668" s="2" t="s">
        <v>185</v>
      </c>
      <c r="M668" s="2" t="s">
        <v>186</v>
      </c>
      <c r="N668" s="2" t="s">
        <v>27</v>
      </c>
      <c r="O668" s="2" t="s">
        <v>88</v>
      </c>
      <c r="P668" s="2">
        <v>9</v>
      </c>
      <c r="R668" s="43">
        <v>45614</v>
      </c>
      <c r="S668" s="2">
        <v>47</v>
      </c>
      <c r="T668" s="2" t="s">
        <v>519</v>
      </c>
      <c r="U668" s="2" t="s">
        <v>167</v>
      </c>
      <c r="V668" s="2" t="s">
        <v>168</v>
      </c>
      <c r="W668" s="2" t="s">
        <v>194</v>
      </c>
      <c r="X668" s="23">
        <v>23</v>
      </c>
      <c r="Y668" s="23">
        <v>582</v>
      </c>
      <c r="Z668" s="23">
        <v>2475</v>
      </c>
      <c r="AA668" s="24">
        <v>0.235151515151515</v>
      </c>
      <c r="AB668" s="14" t="str">
        <f>VLOOKUP(flu_aw24[[#This Row],[trust_code]],trust_lookup[],3,0)</f>
        <v>SWL&amp;StG</v>
      </c>
      <c r="AD668" s="43">
        <v>45999</v>
      </c>
      <c r="AE668" s="2">
        <v>50</v>
      </c>
      <c r="AF668" s="2" t="s">
        <v>518</v>
      </c>
      <c r="AG668" s="2" t="s">
        <v>101</v>
      </c>
      <c r="AH668" s="2" t="s">
        <v>102</v>
      </c>
      <c r="AI668" s="2" t="s">
        <v>192</v>
      </c>
      <c r="AJ668" s="23">
        <v>220</v>
      </c>
      <c r="AK668" s="23">
        <v>4116</v>
      </c>
      <c r="AL668" s="23">
        <v>11552</v>
      </c>
      <c r="AM668" s="24">
        <v>0.35630193905817098</v>
      </c>
      <c r="AN668" s="44" t="str">
        <f>VLOOKUP(flu_aw25[[#This Row],[trust_code]],trust_lookup[],3,0)</f>
        <v>Imperial</v>
      </c>
    </row>
    <row r="669" spans="11:40" x14ac:dyDescent="0.35">
      <c r="K669" s="2" t="s">
        <v>519</v>
      </c>
      <c r="L669" s="2" t="s">
        <v>185</v>
      </c>
      <c r="M669" s="2" t="s">
        <v>186</v>
      </c>
      <c r="N669" s="2" t="s">
        <v>27</v>
      </c>
      <c r="O669" s="2" t="s">
        <v>141</v>
      </c>
      <c r="P669" s="2">
        <v>88</v>
      </c>
      <c r="R669" s="43">
        <v>45621</v>
      </c>
      <c r="S669" s="2">
        <v>48</v>
      </c>
      <c r="T669" s="2" t="s">
        <v>519</v>
      </c>
      <c r="U669" s="2" t="s">
        <v>167</v>
      </c>
      <c r="V669" s="2" t="s">
        <v>168</v>
      </c>
      <c r="W669" s="2" t="s">
        <v>194</v>
      </c>
      <c r="X669" s="23">
        <v>23</v>
      </c>
      <c r="Y669" s="23">
        <v>605</v>
      </c>
      <c r="Z669" s="23">
        <v>2475</v>
      </c>
      <c r="AA669" s="24">
        <v>0.24444444444444399</v>
      </c>
      <c r="AB669" s="14" t="str">
        <f>VLOOKUP(flu_aw24[[#This Row],[trust_code]],trust_lookup[],3,0)</f>
        <v>SWL&amp;StG</v>
      </c>
      <c r="AD669" s="43">
        <v>46006</v>
      </c>
      <c r="AE669" s="2">
        <v>51</v>
      </c>
      <c r="AF669" s="2" t="s">
        <v>518</v>
      </c>
      <c r="AG669" s="2" t="s">
        <v>101</v>
      </c>
      <c r="AH669" s="2" t="s">
        <v>102</v>
      </c>
      <c r="AI669" s="2" t="s">
        <v>192</v>
      </c>
      <c r="AJ669" s="23">
        <v>118</v>
      </c>
      <c r="AK669" s="23">
        <v>4234</v>
      </c>
      <c r="AL669" s="23">
        <v>11552</v>
      </c>
      <c r="AM669" s="24">
        <v>0.366516620498614</v>
      </c>
      <c r="AN669" s="44" t="str">
        <f>VLOOKUP(flu_aw25[[#This Row],[trust_code]],trust_lookup[],3,0)</f>
        <v>Imperial</v>
      </c>
    </row>
    <row r="670" spans="11:40" x14ac:dyDescent="0.35">
      <c r="K670" s="2" t="s">
        <v>519</v>
      </c>
      <c r="L670" s="2" t="s">
        <v>185</v>
      </c>
      <c r="M670" s="2" t="s">
        <v>186</v>
      </c>
      <c r="N670" s="2" t="s">
        <v>27</v>
      </c>
      <c r="O670" s="2" t="s">
        <v>61</v>
      </c>
      <c r="P670" s="2">
        <v>15</v>
      </c>
      <c r="R670" s="43">
        <v>45628</v>
      </c>
      <c r="S670" s="2">
        <v>49</v>
      </c>
      <c r="T670" s="2" t="s">
        <v>519</v>
      </c>
      <c r="U670" s="2" t="s">
        <v>167</v>
      </c>
      <c r="V670" s="2" t="s">
        <v>168</v>
      </c>
      <c r="W670" s="2" t="s">
        <v>194</v>
      </c>
      <c r="X670" s="23">
        <v>29</v>
      </c>
      <c r="Y670" s="23">
        <v>634</v>
      </c>
      <c r="Z670" s="23">
        <v>2475</v>
      </c>
      <c r="AA670" s="24">
        <v>0.25616161616161598</v>
      </c>
      <c r="AB670" s="14" t="str">
        <f>VLOOKUP(flu_aw24[[#This Row],[trust_code]],trust_lookup[],3,0)</f>
        <v>SWL&amp;StG</v>
      </c>
      <c r="AD670" s="43">
        <v>46013</v>
      </c>
      <c r="AE670" s="2">
        <v>52</v>
      </c>
      <c r="AF670" s="2" t="s">
        <v>518</v>
      </c>
      <c r="AG670" s="2" t="s">
        <v>101</v>
      </c>
      <c r="AH670" s="2" t="s">
        <v>102</v>
      </c>
      <c r="AI670" s="2" t="s">
        <v>192</v>
      </c>
      <c r="AJ670" s="23">
        <v>19</v>
      </c>
      <c r="AK670" s="23">
        <v>4253</v>
      </c>
      <c r="AL670" s="23">
        <v>11552</v>
      </c>
      <c r="AM670" s="24">
        <v>0.36816135734071997</v>
      </c>
      <c r="AN670" s="44" t="str">
        <f>VLOOKUP(flu_aw25[[#This Row],[trust_code]],trust_lookup[],3,0)</f>
        <v>Imperial</v>
      </c>
    </row>
    <row r="671" spans="11:40" x14ac:dyDescent="0.35">
      <c r="K671" s="2" t="s">
        <v>519</v>
      </c>
      <c r="L671" s="2" t="s">
        <v>185</v>
      </c>
      <c r="M671" s="2" t="s">
        <v>186</v>
      </c>
      <c r="N671" s="2" t="s">
        <v>27</v>
      </c>
      <c r="O671" s="2" t="s">
        <v>100</v>
      </c>
      <c r="P671" s="2">
        <v>98</v>
      </c>
      <c r="R671" s="43">
        <v>45635</v>
      </c>
      <c r="S671" s="2">
        <v>50</v>
      </c>
      <c r="T671" s="2" t="s">
        <v>519</v>
      </c>
      <c r="U671" s="2" t="s">
        <v>167</v>
      </c>
      <c r="V671" s="2" t="s">
        <v>168</v>
      </c>
      <c r="W671" s="2" t="s">
        <v>194</v>
      </c>
      <c r="X671" s="23">
        <v>17</v>
      </c>
      <c r="Y671" s="23">
        <v>651</v>
      </c>
      <c r="Z671" s="23">
        <v>2475</v>
      </c>
      <c r="AA671" s="24">
        <v>0.263030303030303</v>
      </c>
      <c r="AB671" s="14" t="str">
        <f>VLOOKUP(flu_aw24[[#This Row],[trust_code]],trust_lookup[],3,0)</f>
        <v>SWL&amp;StG</v>
      </c>
      <c r="AD671" s="43">
        <v>46020</v>
      </c>
      <c r="AE671" s="2">
        <v>1</v>
      </c>
      <c r="AF671" s="2" t="s">
        <v>518</v>
      </c>
      <c r="AG671" s="2" t="s">
        <v>101</v>
      </c>
      <c r="AH671" s="2" t="s">
        <v>102</v>
      </c>
      <c r="AI671" s="2" t="s">
        <v>192</v>
      </c>
      <c r="AJ671" s="23">
        <v>12</v>
      </c>
      <c r="AK671" s="23">
        <v>4265</v>
      </c>
      <c r="AL671" s="23">
        <v>11552</v>
      </c>
      <c r="AM671" s="24">
        <v>0.36920013850415501</v>
      </c>
      <c r="AN671" s="44" t="str">
        <f>VLOOKUP(flu_aw25[[#This Row],[trust_code]],trust_lookup[],3,0)</f>
        <v>Imperial</v>
      </c>
    </row>
    <row r="672" spans="11:40" x14ac:dyDescent="0.35">
      <c r="K672" s="2" t="s">
        <v>519</v>
      </c>
      <c r="L672" s="2" t="s">
        <v>185</v>
      </c>
      <c r="M672" s="2" t="s">
        <v>186</v>
      </c>
      <c r="N672" s="2" t="s">
        <v>27</v>
      </c>
      <c r="O672" s="2" t="s">
        <v>75</v>
      </c>
      <c r="P672" s="2">
        <v>25</v>
      </c>
      <c r="R672" s="43">
        <v>45642</v>
      </c>
      <c r="S672" s="2">
        <v>51</v>
      </c>
      <c r="T672" s="2" t="s">
        <v>519</v>
      </c>
      <c r="U672" s="2" t="s">
        <v>167</v>
      </c>
      <c r="V672" s="2" t="s">
        <v>168</v>
      </c>
      <c r="W672" s="2" t="s">
        <v>194</v>
      </c>
      <c r="X672" s="23">
        <v>18</v>
      </c>
      <c r="Y672" s="23">
        <v>669</v>
      </c>
      <c r="Z672" s="23">
        <v>2475</v>
      </c>
      <c r="AA672" s="24">
        <v>0.27030303030302999</v>
      </c>
      <c r="AB672" s="14" t="str">
        <f>VLOOKUP(flu_aw24[[#This Row],[trust_code]],trust_lookup[],3,0)</f>
        <v>SWL&amp;StG</v>
      </c>
      <c r="AD672" s="43">
        <v>46027</v>
      </c>
      <c r="AE672" s="2">
        <v>2</v>
      </c>
      <c r="AF672" s="2" t="s">
        <v>518</v>
      </c>
      <c r="AG672" s="2" t="s">
        <v>101</v>
      </c>
      <c r="AH672" s="2" t="s">
        <v>102</v>
      </c>
      <c r="AI672" s="2" t="s">
        <v>192</v>
      </c>
      <c r="AJ672" s="23">
        <v>19</v>
      </c>
      <c r="AK672" s="23">
        <v>4284</v>
      </c>
      <c r="AL672" s="23">
        <v>11552</v>
      </c>
      <c r="AM672" s="24">
        <v>0.37084487534625998</v>
      </c>
      <c r="AN672" s="44" t="str">
        <f>VLOOKUP(flu_aw25[[#This Row],[trust_code]],trust_lookup[],3,0)</f>
        <v>Imperial</v>
      </c>
    </row>
    <row r="673" spans="11:40" x14ac:dyDescent="0.35">
      <c r="K673" s="2" t="s">
        <v>519</v>
      </c>
      <c r="L673" s="2" t="s">
        <v>185</v>
      </c>
      <c r="M673" s="2" t="s">
        <v>186</v>
      </c>
      <c r="N673" s="2" t="s">
        <v>27</v>
      </c>
      <c r="O673" s="2" t="s">
        <v>106</v>
      </c>
      <c r="P673" s="2">
        <v>10</v>
      </c>
      <c r="R673" s="43">
        <v>45649</v>
      </c>
      <c r="S673" s="2">
        <v>52</v>
      </c>
      <c r="T673" s="2" t="s">
        <v>519</v>
      </c>
      <c r="U673" s="2" t="s">
        <v>167</v>
      </c>
      <c r="V673" s="2" t="s">
        <v>168</v>
      </c>
      <c r="W673" s="2" t="s">
        <v>194</v>
      </c>
      <c r="X673" s="23">
        <v>5</v>
      </c>
      <c r="Y673" s="23">
        <v>674</v>
      </c>
      <c r="Z673" s="23">
        <v>2475</v>
      </c>
      <c r="AA673" s="24">
        <v>0.27232323232323202</v>
      </c>
      <c r="AB673" s="14" t="str">
        <f>VLOOKUP(flu_aw24[[#This Row],[trust_code]],trust_lookup[],3,0)</f>
        <v>SWL&amp;StG</v>
      </c>
      <c r="AD673" s="43">
        <v>46034</v>
      </c>
      <c r="AE673" s="2">
        <v>3</v>
      </c>
      <c r="AF673" s="2" t="s">
        <v>518</v>
      </c>
      <c r="AG673" s="2" t="s">
        <v>101</v>
      </c>
      <c r="AH673" s="2" t="s">
        <v>102</v>
      </c>
      <c r="AI673" s="2" t="s">
        <v>192</v>
      </c>
      <c r="AJ673" s="23">
        <v>12</v>
      </c>
      <c r="AK673" s="23">
        <v>4296</v>
      </c>
      <c r="AL673" s="23">
        <v>11552</v>
      </c>
      <c r="AM673" s="24">
        <v>0.37188365650969502</v>
      </c>
      <c r="AN673" s="44" t="str">
        <f>VLOOKUP(flu_aw25[[#This Row],[trust_code]],trust_lookup[],3,0)</f>
        <v>Imperial</v>
      </c>
    </row>
    <row r="674" spans="11:40" x14ac:dyDescent="0.35">
      <c r="K674" s="2" t="s">
        <v>519</v>
      </c>
      <c r="L674" s="2" t="s">
        <v>185</v>
      </c>
      <c r="M674" s="2" t="s">
        <v>186</v>
      </c>
      <c r="N674" s="2" t="s">
        <v>27</v>
      </c>
      <c r="O674" s="2" t="s">
        <v>112</v>
      </c>
      <c r="P674" s="2">
        <v>77</v>
      </c>
      <c r="R674" s="43">
        <v>45656</v>
      </c>
      <c r="S674" s="2">
        <v>1</v>
      </c>
      <c r="T674" s="2" t="s">
        <v>519</v>
      </c>
      <c r="U674" s="2" t="s">
        <v>167</v>
      </c>
      <c r="V674" s="2" t="s">
        <v>168</v>
      </c>
      <c r="W674" s="2" t="s">
        <v>194</v>
      </c>
      <c r="X674" s="23">
        <v>6</v>
      </c>
      <c r="Y674" s="23">
        <v>680</v>
      </c>
      <c r="Z674" s="23">
        <v>2475</v>
      </c>
      <c r="AA674" s="24">
        <v>0.27474747474747402</v>
      </c>
      <c r="AB674" s="14" t="str">
        <f>VLOOKUP(flu_aw24[[#This Row],[trust_code]],trust_lookup[],3,0)</f>
        <v>SWL&amp;StG</v>
      </c>
      <c r="AD674" s="43">
        <v>46041</v>
      </c>
      <c r="AE674" s="2">
        <v>4</v>
      </c>
      <c r="AF674" s="2" t="s">
        <v>518</v>
      </c>
      <c r="AG674" s="2" t="s">
        <v>101</v>
      </c>
      <c r="AH674" s="2" t="s">
        <v>102</v>
      </c>
      <c r="AI674" s="2" t="s">
        <v>192</v>
      </c>
      <c r="AJ674" s="23">
        <v>7</v>
      </c>
      <c r="AK674" s="23">
        <v>4303</v>
      </c>
      <c r="AL674" s="23">
        <v>11552</v>
      </c>
      <c r="AM674" s="24">
        <v>0.37248961218836502</v>
      </c>
      <c r="AN674" s="44" t="str">
        <f>VLOOKUP(flu_aw25[[#This Row],[trust_code]],trust_lookup[],3,0)</f>
        <v>Imperial</v>
      </c>
    </row>
    <row r="675" spans="11:40" x14ac:dyDescent="0.35">
      <c r="K675" s="2" t="s">
        <v>519</v>
      </c>
      <c r="L675" s="2" t="s">
        <v>185</v>
      </c>
      <c r="M675" s="2" t="s">
        <v>186</v>
      </c>
      <c r="N675" s="2" t="s">
        <v>27</v>
      </c>
      <c r="O675" s="2" t="s">
        <v>36</v>
      </c>
      <c r="P675" s="2">
        <v>78</v>
      </c>
      <c r="R675" s="43">
        <v>45663</v>
      </c>
      <c r="S675" s="2">
        <v>2</v>
      </c>
      <c r="T675" s="2" t="s">
        <v>519</v>
      </c>
      <c r="U675" s="2" t="s">
        <v>167</v>
      </c>
      <c r="V675" s="2" t="s">
        <v>168</v>
      </c>
      <c r="W675" s="2" t="s">
        <v>194</v>
      </c>
      <c r="X675" s="23">
        <v>3</v>
      </c>
      <c r="Y675" s="23">
        <v>683</v>
      </c>
      <c r="Z675" s="23">
        <v>2475</v>
      </c>
      <c r="AA675" s="24">
        <v>0.27595959595959502</v>
      </c>
      <c r="AB675" s="14" t="str">
        <f>VLOOKUP(flu_aw24[[#This Row],[trust_code]],trust_lookup[],3,0)</f>
        <v>SWL&amp;StG</v>
      </c>
      <c r="AD675" s="43">
        <v>46048</v>
      </c>
      <c r="AE675" s="2">
        <v>5</v>
      </c>
      <c r="AF675" s="2" t="s">
        <v>518</v>
      </c>
      <c r="AG675" s="2" t="s">
        <v>101</v>
      </c>
      <c r="AH675" s="2" t="s">
        <v>102</v>
      </c>
      <c r="AI675" s="2" t="s">
        <v>192</v>
      </c>
      <c r="AJ675" s="23">
        <v>8</v>
      </c>
      <c r="AK675" s="23">
        <v>4311</v>
      </c>
      <c r="AL675" s="23">
        <v>11552</v>
      </c>
      <c r="AM675" s="24">
        <v>0.373182132963988</v>
      </c>
      <c r="AN675" s="44" t="str">
        <f>VLOOKUP(flu_aw25[[#This Row],[trust_code]],trust_lookup[],3,0)</f>
        <v>Imperial</v>
      </c>
    </row>
    <row r="676" spans="11:40" x14ac:dyDescent="0.35">
      <c r="K676" s="2" t="s">
        <v>519</v>
      </c>
      <c r="L676" s="2" t="s">
        <v>30</v>
      </c>
      <c r="M676" s="2" t="s">
        <v>31</v>
      </c>
      <c r="N676" s="2" t="s">
        <v>190</v>
      </c>
      <c r="O676" s="2" t="s">
        <v>68</v>
      </c>
      <c r="P676" s="2">
        <v>786</v>
      </c>
      <c r="R676" s="43">
        <v>45670</v>
      </c>
      <c r="S676" s="2">
        <v>3</v>
      </c>
      <c r="T676" s="2" t="s">
        <v>519</v>
      </c>
      <c r="U676" s="2" t="s">
        <v>167</v>
      </c>
      <c r="V676" s="2" t="s">
        <v>168</v>
      </c>
      <c r="W676" s="2" t="s">
        <v>194</v>
      </c>
      <c r="X676" s="23">
        <v>6</v>
      </c>
      <c r="Y676" s="23">
        <v>689</v>
      </c>
      <c r="Z676" s="23">
        <v>2475</v>
      </c>
      <c r="AA676" s="24">
        <v>0.27838383838383801</v>
      </c>
      <c r="AB676" s="14" t="str">
        <f>VLOOKUP(flu_aw24[[#This Row],[trust_code]],trust_lookup[],3,0)</f>
        <v>SWL&amp;StG</v>
      </c>
      <c r="AD676" s="43">
        <v>46055</v>
      </c>
      <c r="AE676" s="2">
        <v>6</v>
      </c>
      <c r="AF676" s="2" t="s">
        <v>518</v>
      </c>
      <c r="AG676" s="2" t="s">
        <v>101</v>
      </c>
      <c r="AH676" s="2" t="s">
        <v>102</v>
      </c>
      <c r="AI676" s="2" t="s">
        <v>192</v>
      </c>
      <c r="AJ676" s="23">
        <v>9</v>
      </c>
      <c r="AK676" s="23">
        <v>4320</v>
      </c>
      <c r="AL676" s="23">
        <v>11552</v>
      </c>
      <c r="AM676" s="24">
        <v>0.37396121883656502</v>
      </c>
      <c r="AN676" s="44" t="str">
        <f>VLOOKUP(flu_aw25[[#This Row],[trust_code]],trust_lookup[],3,0)</f>
        <v>Imperial</v>
      </c>
    </row>
    <row r="677" spans="11:40" x14ac:dyDescent="0.35">
      <c r="K677" s="2" t="s">
        <v>519</v>
      </c>
      <c r="L677" s="2" t="s">
        <v>30</v>
      </c>
      <c r="M677" s="2" t="s">
        <v>31</v>
      </c>
      <c r="N677" s="2" t="s">
        <v>190</v>
      </c>
      <c r="O677" s="2" t="s">
        <v>135</v>
      </c>
      <c r="P677" s="2">
        <v>27</v>
      </c>
      <c r="R677" s="43">
        <v>45677</v>
      </c>
      <c r="S677" s="2">
        <v>4</v>
      </c>
      <c r="T677" s="2" t="s">
        <v>519</v>
      </c>
      <c r="U677" s="2" t="s">
        <v>167</v>
      </c>
      <c r="V677" s="2" t="s">
        <v>168</v>
      </c>
      <c r="W677" s="2" t="s">
        <v>194</v>
      </c>
      <c r="X677" s="23">
        <v>2</v>
      </c>
      <c r="Y677" s="23">
        <v>691</v>
      </c>
      <c r="Z677" s="23">
        <v>2475</v>
      </c>
      <c r="AA677" s="24">
        <v>0.27919191919191899</v>
      </c>
      <c r="AB677" s="14" t="str">
        <f>VLOOKUP(flu_aw24[[#This Row],[trust_code]],trust_lookup[],3,0)</f>
        <v>SWL&amp;StG</v>
      </c>
      <c r="AD677" s="43">
        <v>46062</v>
      </c>
      <c r="AE677" s="2">
        <v>7</v>
      </c>
      <c r="AF677" s="2" t="s">
        <v>518</v>
      </c>
      <c r="AG677" s="2" t="s">
        <v>101</v>
      </c>
      <c r="AH677" s="2" t="s">
        <v>102</v>
      </c>
      <c r="AI677" s="2" t="s">
        <v>192</v>
      </c>
      <c r="AJ677" s="23">
        <v>5</v>
      </c>
      <c r="AK677" s="23">
        <v>4325</v>
      </c>
      <c r="AL677" s="23">
        <v>11552</v>
      </c>
      <c r="AM677" s="24">
        <v>0.374394044321329</v>
      </c>
      <c r="AN677" s="44" t="str">
        <f>VLOOKUP(flu_aw25[[#This Row],[trust_code]],trust_lookup[],3,0)</f>
        <v>Imperial</v>
      </c>
    </row>
    <row r="678" spans="11:40" x14ac:dyDescent="0.35">
      <c r="K678" s="2" t="s">
        <v>519</v>
      </c>
      <c r="L678" s="2" t="s">
        <v>30</v>
      </c>
      <c r="M678" s="2" t="s">
        <v>31</v>
      </c>
      <c r="N678" s="2" t="s">
        <v>190</v>
      </c>
      <c r="O678" s="2" t="s">
        <v>54</v>
      </c>
      <c r="P678" s="2">
        <v>186</v>
      </c>
      <c r="R678" s="43">
        <v>45684</v>
      </c>
      <c r="S678" s="2">
        <v>5</v>
      </c>
      <c r="T678" s="2" t="s">
        <v>519</v>
      </c>
      <c r="U678" s="2" t="s">
        <v>167</v>
      </c>
      <c r="V678" s="2" t="s">
        <v>168</v>
      </c>
      <c r="W678" s="2" t="s">
        <v>194</v>
      </c>
      <c r="X678" s="23">
        <v>2</v>
      </c>
      <c r="Y678" s="23">
        <v>693</v>
      </c>
      <c r="Z678" s="23">
        <v>2475</v>
      </c>
      <c r="AA678" s="24">
        <v>0.28000000000000003</v>
      </c>
      <c r="AB678" s="14" t="str">
        <f>VLOOKUP(flu_aw24[[#This Row],[trust_code]],trust_lookup[],3,0)</f>
        <v>SWL&amp;StG</v>
      </c>
      <c r="AD678" s="43">
        <v>46069</v>
      </c>
      <c r="AE678" s="2">
        <v>8</v>
      </c>
      <c r="AF678" s="2" t="s">
        <v>518</v>
      </c>
      <c r="AG678" s="2" t="s">
        <v>101</v>
      </c>
      <c r="AH678" s="2" t="s">
        <v>102</v>
      </c>
      <c r="AI678" s="2" t="s">
        <v>192</v>
      </c>
      <c r="AJ678" s="23">
        <v>2</v>
      </c>
      <c r="AK678" s="23">
        <v>4327</v>
      </c>
      <c r="AL678" s="23">
        <v>11552</v>
      </c>
      <c r="AM678" s="24">
        <v>0.37456717451523502</v>
      </c>
      <c r="AN678" s="44" t="str">
        <f>VLOOKUP(flu_aw25[[#This Row],[trust_code]],trust_lookup[],3,0)</f>
        <v>Imperial</v>
      </c>
    </row>
    <row r="679" spans="11:40" x14ac:dyDescent="0.35">
      <c r="K679" s="2" t="s">
        <v>519</v>
      </c>
      <c r="L679" s="2" t="s">
        <v>30</v>
      </c>
      <c r="M679" s="2" t="s">
        <v>31</v>
      </c>
      <c r="N679" s="2" t="s">
        <v>190</v>
      </c>
      <c r="O679" s="2" t="s">
        <v>129</v>
      </c>
      <c r="P679" s="2">
        <v>12</v>
      </c>
      <c r="R679" s="43">
        <v>45691</v>
      </c>
      <c r="S679" s="2">
        <v>6</v>
      </c>
      <c r="T679" s="2" t="s">
        <v>519</v>
      </c>
      <c r="U679" s="2" t="s">
        <v>167</v>
      </c>
      <c r="V679" s="2" t="s">
        <v>168</v>
      </c>
      <c r="W679" s="2" t="s">
        <v>194</v>
      </c>
      <c r="X679" s="23">
        <v>1</v>
      </c>
      <c r="Y679" s="23">
        <v>694</v>
      </c>
      <c r="Z679" s="23">
        <v>2475</v>
      </c>
      <c r="AA679" s="24">
        <v>0.28040404040403999</v>
      </c>
      <c r="AB679" s="14" t="str">
        <f>VLOOKUP(flu_aw24[[#This Row],[trust_code]],trust_lookup[],3,0)</f>
        <v>SWL&amp;StG</v>
      </c>
      <c r="AD679" s="43">
        <v>46076</v>
      </c>
      <c r="AE679" s="2">
        <v>9</v>
      </c>
      <c r="AF679" s="2" t="s">
        <v>518</v>
      </c>
      <c r="AG679" s="2" t="s">
        <v>101</v>
      </c>
      <c r="AH679" s="2" t="s">
        <v>102</v>
      </c>
      <c r="AI679" s="2" t="s">
        <v>192</v>
      </c>
      <c r="AJ679" s="23">
        <v>6</v>
      </c>
      <c r="AK679" s="23">
        <v>4333</v>
      </c>
      <c r="AL679" s="23">
        <v>11552</v>
      </c>
      <c r="AM679" s="24">
        <v>0.37508656509695198</v>
      </c>
      <c r="AN679" s="44" t="str">
        <f>VLOOKUP(flu_aw25[[#This Row],[trust_code]],trust_lookup[],3,0)</f>
        <v>Imperial</v>
      </c>
    </row>
    <row r="680" spans="11:40" x14ac:dyDescent="0.35">
      <c r="K680" s="2" t="s">
        <v>519</v>
      </c>
      <c r="L680" s="2" t="s">
        <v>30</v>
      </c>
      <c r="M680" s="2" t="s">
        <v>31</v>
      </c>
      <c r="N680" s="2" t="s">
        <v>190</v>
      </c>
      <c r="O680" s="2" t="s">
        <v>47</v>
      </c>
      <c r="P680" s="2">
        <v>29</v>
      </c>
      <c r="R680" s="43">
        <v>45698</v>
      </c>
      <c r="S680" s="2">
        <v>7</v>
      </c>
      <c r="T680" s="2" t="s">
        <v>519</v>
      </c>
      <c r="U680" s="2" t="s">
        <v>167</v>
      </c>
      <c r="V680" s="2" t="s">
        <v>168</v>
      </c>
      <c r="W680" s="2" t="s">
        <v>194</v>
      </c>
      <c r="X680" s="23">
        <v>1</v>
      </c>
      <c r="Y680" s="23">
        <v>695</v>
      </c>
      <c r="Z680" s="23">
        <v>2475</v>
      </c>
      <c r="AA680" s="24">
        <v>0.28080808080808001</v>
      </c>
      <c r="AB680" s="14" t="str">
        <f>VLOOKUP(flu_aw24[[#This Row],[trust_code]],trust_lookup[],3,0)</f>
        <v>SWL&amp;StG</v>
      </c>
      <c r="AD680" s="43">
        <v>45929</v>
      </c>
      <c r="AE680" s="2">
        <v>40</v>
      </c>
      <c r="AF680" s="2" t="s">
        <v>518</v>
      </c>
      <c r="AG680" s="2" t="s">
        <v>161</v>
      </c>
      <c r="AH680" s="2" t="s">
        <v>162</v>
      </c>
      <c r="AI680" s="2" t="s">
        <v>27</v>
      </c>
      <c r="AJ680" s="23">
        <v>56</v>
      </c>
      <c r="AK680" s="23">
        <v>56</v>
      </c>
      <c r="AL680" s="23">
        <v>1002</v>
      </c>
      <c r="AM680" s="24">
        <v>5.5888223552894203E-2</v>
      </c>
      <c r="AN680" s="44" t="str">
        <f>VLOOKUP(flu_aw25[[#This Row],[trust_code]],trust_lookup[],3,0)</f>
        <v>RNOH</v>
      </c>
    </row>
    <row r="681" spans="11:40" x14ac:dyDescent="0.35">
      <c r="K681" s="2" t="s">
        <v>519</v>
      </c>
      <c r="L681" s="2" t="s">
        <v>30</v>
      </c>
      <c r="M681" s="2" t="s">
        <v>31</v>
      </c>
      <c r="N681" s="2" t="s">
        <v>190</v>
      </c>
      <c r="O681" s="2" t="s">
        <v>94</v>
      </c>
      <c r="P681" s="2">
        <v>19</v>
      </c>
      <c r="R681" s="43">
        <v>45705</v>
      </c>
      <c r="S681" s="2">
        <v>8</v>
      </c>
      <c r="T681" s="2" t="s">
        <v>519</v>
      </c>
      <c r="U681" s="2" t="s">
        <v>167</v>
      </c>
      <c r="V681" s="2" t="s">
        <v>168</v>
      </c>
      <c r="W681" s="2" t="s">
        <v>194</v>
      </c>
      <c r="X681" s="23">
        <v>4</v>
      </c>
      <c r="Y681" s="23">
        <v>699</v>
      </c>
      <c r="Z681" s="23">
        <v>2475</v>
      </c>
      <c r="AA681" s="24">
        <v>0.28242424242424202</v>
      </c>
      <c r="AB681" s="14" t="str">
        <f>VLOOKUP(flu_aw24[[#This Row],[trust_code]],trust_lookup[],3,0)</f>
        <v>SWL&amp;StG</v>
      </c>
      <c r="AD681" s="43">
        <v>45936</v>
      </c>
      <c r="AE681" s="2">
        <v>41</v>
      </c>
      <c r="AF681" s="2" t="s">
        <v>518</v>
      </c>
      <c r="AG681" s="2" t="s">
        <v>161</v>
      </c>
      <c r="AH681" s="2" t="s">
        <v>162</v>
      </c>
      <c r="AI681" s="2" t="s">
        <v>27</v>
      </c>
      <c r="AJ681" s="23">
        <v>67</v>
      </c>
      <c r="AK681" s="23">
        <v>123</v>
      </c>
      <c r="AL681" s="23">
        <v>1002</v>
      </c>
      <c r="AM681" s="24">
        <v>0.122754491017964</v>
      </c>
      <c r="AN681" s="44" t="str">
        <f>VLOOKUP(flu_aw25[[#This Row],[trust_code]],trust_lookup[],3,0)</f>
        <v>RNOH</v>
      </c>
    </row>
    <row r="682" spans="11:40" x14ac:dyDescent="0.35">
      <c r="K682" s="2" t="s">
        <v>519</v>
      </c>
      <c r="L682" s="2" t="s">
        <v>30</v>
      </c>
      <c r="M682" s="2" t="s">
        <v>31</v>
      </c>
      <c r="N682" s="2" t="s">
        <v>190</v>
      </c>
      <c r="O682" s="2" t="s">
        <v>29</v>
      </c>
      <c r="P682" s="2">
        <v>41</v>
      </c>
      <c r="R682" s="43">
        <v>45712</v>
      </c>
      <c r="S682" s="2">
        <v>9</v>
      </c>
      <c r="T682" s="2" t="s">
        <v>519</v>
      </c>
      <c r="U682" s="2" t="s">
        <v>167</v>
      </c>
      <c r="V682" s="2" t="s">
        <v>168</v>
      </c>
      <c r="W682" s="2" t="s">
        <v>194</v>
      </c>
      <c r="X682" s="23">
        <v>1</v>
      </c>
      <c r="Y682" s="23">
        <v>700</v>
      </c>
      <c r="Z682" s="23">
        <v>2475</v>
      </c>
      <c r="AA682" s="24">
        <v>0.28282828282828198</v>
      </c>
      <c r="AB682" s="14" t="str">
        <f>VLOOKUP(flu_aw24[[#This Row],[trust_code]],trust_lookup[],3,0)</f>
        <v>SWL&amp;StG</v>
      </c>
      <c r="AD682" s="43">
        <v>45943</v>
      </c>
      <c r="AE682" s="2">
        <v>42</v>
      </c>
      <c r="AF682" s="2" t="s">
        <v>518</v>
      </c>
      <c r="AG682" s="2" t="s">
        <v>161</v>
      </c>
      <c r="AH682" s="2" t="s">
        <v>162</v>
      </c>
      <c r="AI682" s="2" t="s">
        <v>27</v>
      </c>
      <c r="AJ682" s="23">
        <v>102</v>
      </c>
      <c r="AK682" s="23">
        <v>225</v>
      </c>
      <c r="AL682" s="23">
        <v>1002</v>
      </c>
      <c r="AM682" s="24">
        <v>0.224550898203592</v>
      </c>
      <c r="AN682" s="44" t="str">
        <f>VLOOKUP(flu_aw25[[#This Row],[trust_code]],trust_lookup[],3,0)</f>
        <v>RNOH</v>
      </c>
    </row>
    <row r="683" spans="11:40" x14ac:dyDescent="0.35">
      <c r="K683" s="2" t="s">
        <v>519</v>
      </c>
      <c r="L683" s="2" t="s">
        <v>30</v>
      </c>
      <c r="M683" s="2" t="s">
        <v>31</v>
      </c>
      <c r="N683" s="2" t="s">
        <v>190</v>
      </c>
      <c r="O683" s="2" t="s">
        <v>123</v>
      </c>
      <c r="P683" s="2">
        <v>337</v>
      </c>
      <c r="R683" s="43">
        <v>45719</v>
      </c>
      <c r="S683" s="2">
        <v>10</v>
      </c>
      <c r="T683" s="2" t="s">
        <v>519</v>
      </c>
      <c r="U683" s="2" t="s">
        <v>167</v>
      </c>
      <c r="V683" s="2" t="s">
        <v>168</v>
      </c>
      <c r="W683" s="2" t="s">
        <v>194</v>
      </c>
      <c r="X683" s="23">
        <v>1</v>
      </c>
      <c r="Y683" s="23">
        <v>701</v>
      </c>
      <c r="Z683" s="23">
        <v>2475</v>
      </c>
      <c r="AA683" s="24">
        <v>0.283232323232323</v>
      </c>
      <c r="AB683" s="14" t="str">
        <f>VLOOKUP(flu_aw24[[#This Row],[trust_code]],trust_lookup[],3,0)</f>
        <v>SWL&amp;StG</v>
      </c>
      <c r="AD683" s="43">
        <v>45950</v>
      </c>
      <c r="AE683" s="2">
        <v>43</v>
      </c>
      <c r="AF683" s="2" t="s">
        <v>518</v>
      </c>
      <c r="AG683" s="2" t="s">
        <v>161</v>
      </c>
      <c r="AH683" s="2" t="s">
        <v>162</v>
      </c>
      <c r="AI683" s="2" t="s">
        <v>27</v>
      </c>
      <c r="AJ683" s="23">
        <v>51</v>
      </c>
      <c r="AK683" s="23">
        <v>276</v>
      </c>
      <c r="AL683" s="23">
        <v>1002</v>
      </c>
      <c r="AM683" s="24">
        <v>0.27544910179640703</v>
      </c>
      <c r="AN683" s="44" t="str">
        <f>VLOOKUP(flu_aw25[[#This Row],[trust_code]],trust_lookup[],3,0)</f>
        <v>RNOH</v>
      </c>
    </row>
    <row r="684" spans="11:40" x14ac:dyDescent="0.35">
      <c r="K684" s="2" t="s">
        <v>519</v>
      </c>
      <c r="L684" s="2" t="s">
        <v>30</v>
      </c>
      <c r="M684" s="2" t="s">
        <v>31</v>
      </c>
      <c r="N684" s="2" t="s">
        <v>190</v>
      </c>
      <c r="O684" s="2" t="s">
        <v>82</v>
      </c>
      <c r="P684" s="2">
        <v>99</v>
      </c>
      <c r="R684" s="43">
        <v>45733</v>
      </c>
      <c r="S684" s="2">
        <v>12</v>
      </c>
      <c r="T684" s="2" t="s">
        <v>519</v>
      </c>
      <c r="U684" s="2" t="s">
        <v>167</v>
      </c>
      <c r="V684" s="2" t="s">
        <v>168</v>
      </c>
      <c r="W684" s="2" t="s">
        <v>194</v>
      </c>
      <c r="X684" s="23">
        <v>1</v>
      </c>
      <c r="Y684" s="23">
        <v>702</v>
      </c>
      <c r="Z684" s="23">
        <v>2475</v>
      </c>
      <c r="AA684" s="24">
        <v>0.28363636363636302</v>
      </c>
      <c r="AB684" s="14" t="str">
        <f>VLOOKUP(flu_aw24[[#This Row],[trust_code]],trust_lookup[],3,0)</f>
        <v>SWL&amp;StG</v>
      </c>
      <c r="AD684" s="43">
        <v>45957</v>
      </c>
      <c r="AE684" s="2">
        <v>44</v>
      </c>
      <c r="AF684" s="2" t="s">
        <v>518</v>
      </c>
      <c r="AG684" s="2" t="s">
        <v>161</v>
      </c>
      <c r="AH684" s="2" t="s">
        <v>162</v>
      </c>
      <c r="AI684" s="2" t="s">
        <v>27</v>
      </c>
      <c r="AJ684" s="23">
        <v>25</v>
      </c>
      <c r="AK684" s="23">
        <v>301</v>
      </c>
      <c r="AL684" s="23">
        <v>1002</v>
      </c>
      <c r="AM684" s="24">
        <v>0.300399201596806</v>
      </c>
      <c r="AN684" s="44" t="str">
        <f>VLOOKUP(flu_aw25[[#This Row],[trust_code]],trust_lookup[],3,0)</f>
        <v>RNOH</v>
      </c>
    </row>
    <row r="685" spans="11:40" x14ac:dyDescent="0.35">
      <c r="K685" s="2" t="s">
        <v>519</v>
      </c>
      <c r="L685" s="2" t="s">
        <v>30</v>
      </c>
      <c r="M685" s="2" t="s">
        <v>31</v>
      </c>
      <c r="N685" s="2" t="s">
        <v>190</v>
      </c>
      <c r="O685" s="2" t="s">
        <v>88</v>
      </c>
      <c r="P685" s="2">
        <v>71</v>
      </c>
      <c r="R685" s="43">
        <v>45740</v>
      </c>
      <c r="S685" s="2">
        <v>13</v>
      </c>
      <c r="T685" s="2" t="s">
        <v>519</v>
      </c>
      <c r="U685" s="2" t="s">
        <v>167</v>
      </c>
      <c r="V685" s="2" t="s">
        <v>168</v>
      </c>
      <c r="W685" s="2" t="s">
        <v>194</v>
      </c>
      <c r="X685" s="23">
        <v>1</v>
      </c>
      <c r="Y685" s="23">
        <v>703</v>
      </c>
      <c r="Z685" s="23">
        <v>2475</v>
      </c>
      <c r="AA685" s="24">
        <v>0.28404040404040398</v>
      </c>
      <c r="AB685" s="14" t="str">
        <f>VLOOKUP(flu_aw24[[#This Row],[trust_code]],trust_lookup[],3,0)</f>
        <v>SWL&amp;StG</v>
      </c>
      <c r="AD685" s="43">
        <v>45964</v>
      </c>
      <c r="AE685" s="2">
        <v>45</v>
      </c>
      <c r="AF685" s="2" t="s">
        <v>518</v>
      </c>
      <c r="AG685" s="2" t="s">
        <v>161</v>
      </c>
      <c r="AH685" s="2" t="s">
        <v>162</v>
      </c>
      <c r="AI685" s="2" t="s">
        <v>27</v>
      </c>
      <c r="AJ685" s="23">
        <v>45</v>
      </c>
      <c r="AK685" s="23">
        <v>346</v>
      </c>
      <c r="AL685" s="23">
        <v>1002</v>
      </c>
      <c r="AM685" s="24">
        <v>0.34530938123752403</v>
      </c>
      <c r="AN685" s="44" t="str">
        <f>VLOOKUP(flu_aw25[[#This Row],[trust_code]],trust_lookup[],3,0)</f>
        <v>RNOH</v>
      </c>
    </row>
    <row r="686" spans="11:40" x14ac:dyDescent="0.35">
      <c r="K686" s="2" t="s">
        <v>519</v>
      </c>
      <c r="L686" s="2" t="s">
        <v>30</v>
      </c>
      <c r="M686" s="2" t="s">
        <v>31</v>
      </c>
      <c r="N686" s="2" t="s">
        <v>190</v>
      </c>
      <c r="O686" s="2" t="s">
        <v>141</v>
      </c>
      <c r="P686" s="2">
        <v>310</v>
      </c>
      <c r="R686" s="43">
        <v>45537</v>
      </c>
      <c r="S686" s="2">
        <v>36</v>
      </c>
      <c r="T686" s="2" t="s">
        <v>519</v>
      </c>
      <c r="U686" s="2" t="s">
        <v>170</v>
      </c>
      <c r="V686" s="2" t="s">
        <v>171</v>
      </c>
      <c r="W686" s="2" t="s">
        <v>194</v>
      </c>
      <c r="X686" s="23">
        <v>1</v>
      </c>
      <c r="Y686" s="23">
        <v>1</v>
      </c>
      <c r="Z686" s="23">
        <v>6877</v>
      </c>
      <c r="AA686" s="24">
        <v>1.4541224371092E-4</v>
      </c>
      <c r="AB686" s="14" t="str">
        <f>VLOOKUP(flu_aw24[[#This Row],[trust_code]],trust_lookup[],3,0)</f>
        <v>St George's</v>
      </c>
      <c r="AD686" s="43">
        <v>45971</v>
      </c>
      <c r="AE686" s="2">
        <v>46</v>
      </c>
      <c r="AF686" s="2" t="s">
        <v>518</v>
      </c>
      <c r="AG686" s="2" t="s">
        <v>161</v>
      </c>
      <c r="AH686" s="2" t="s">
        <v>162</v>
      </c>
      <c r="AI686" s="2" t="s">
        <v>27</v>
      </c>
      <c r="AJ686" s="23">
        <v>22</v>
      </c>
      <c r="AK686" s="23">
        <v>368</v>
      </c>
      <c r="AL686" s="23">
        <v>1002</v>
      </c>
      <c r="AM686" s="24">
        <v>0.36726546906187602</v>
      </c>
      <c r="AN686" s="44" t="str">
        <f>VLOOKUP(flu_aw25[[#This Row],[trust_code]],trust_lookup[],3,0)</f>
        <v>RNOH</v>
      </c>
    </row>
    <row r="687" spans="11:40" x14ac:dyDescent="0.35">
      <c r="K687" s="2" t="s">
        <v>519</v>
      </c>
      <c r="L687" s="2" t="s">
        <v>30</v>
      </c>
      <c r="M687" s="2" t="s">
        <v>31</v>
      </c>
      <c r="N687" s="2" t="s">
        <v>190</v>
      </c>
      <c r="O687" s="2" t="s">
        <v>61</v>
      </c>
      <c r="P687" s="2">
        <v>44</v>
      </c>
      <c r="R687" s="43">
        <v>45551</v>
      </c>
      <c r="S687" s="2">
        <v>38</v>
      </c>
      <c r="T687" s="2" t="s">
        <v>519</v>
      </c>
      <c r="U687" s="2" t="s">
        <v>170</v>
      </c>
      <c r="V687" s="2" t="s">
        <v>171</v>
      </c>
      <c r="W687" s="2" t="s">
        <v>194</v>
      </c>
      <c r="X687" s="23">
        <v>5</v>
      </c>
      <c r="Y687" s="23">
        <v>6</v>
      </c>
      <c r="Z687" s="23">
        <v>6877</v>
      </c>
      <c r="AA687" s="24">
        <v>8.72473462265522E-4</v>
      </c>
      <c r="AB687" s="14" t="str">
        <f>VLOOKUP(flu_aw24[[#This Row],[trust_code]],trust_lookup[],3,0)</f>
        <v>St George's</v>
      </c>
      <c r="AD687" s="43">
        <v>45978</v>
      </c>
      <c r="AE687" s="2">
        <v>47</v>
      </c>
      <c r="AF687" s="2" t="s">
        <v>518</v>
      </c>
      <c r="AG687" s="2" t="s">
        <v>161</v>
      </c>
      <c r="AH687" s="2" t="s">
        <v>162</v>
      </c>
      <c r="AI687" s="2" t="s">
        <v>27</v>
      </c>
      <c r="AJ687" s="23">
        <v>15</v>
      </c>
      <c r="AK687" s="23">
        <v>383</v>
      </c>
      <c r="AL687" s="23">
        <v>1002</v>
      </c>
      <c r="AM687" s="24">
        <v>0.38223552894211499</v>
      </c>
      <c r="AN687" s="44" t="str">
        <f>VLOOKUP(flu_aw25[[#This Row],[trust_code]],trust_lookup[],3,0)</f>
        <v>RNOH</v>
      </c>
    </row>
    <row r="688" spans="11:40" x14ac:dyDescent="0.35">
      <c r="K688" s="2" t="s">
        <v>519</v>
      </c>
      <c r="L688" s="2" t="s">
        <v>30</v>
      </c>
      <c r="M688" s="2" t="s">
        <v>31</v>
      </c>
      <c r="N688" s="2" t="s">
        <v>190</v>
      </c>
      <c r="O688" s="2" t="s">
        <v>100</v>
      </c>
      <c r="P688" s="2">
        <v>408</v>
      </c>
      <c r="R688" s="43">
        <v>45558</v>
      </c>
      <c r="S688" s="2">
        <v>39</v>
      </c>
      <c r="T688" s="2" t="s">
        <v>519</v>
      </c>
      <c r="U688" s="2" t="s">
        <v>170</v>
      </c>
      <c r="V688" s="2" t="s">
        <v>171</v>
      </c>
      <c r="W688" s="2" t="s">
        <v>194</v>
      </c>
      <c r="X688" s="23">
        <v>9</v>
      </c>
      <c r="Y688" s="23">
        <v>15</v>
      </c>
      <c r="Z688" s="23">
        <v>6877</v>
      </c>
      <c r="AA688" s="24">
        <v>2.1811836556637999E-3</v>
      </c>
      <c r="AB688" s="14" t="str">
        <f>VLOOKUP(flu_aw24[[#This Row],[trust_code]],trust_lookup[],3,0)</f>
        <v>St George's</v>
      </c>
      <c r="AD688" s="43">
        <v>45985</v>
      </c>
      <c r="AE688" s="2">
        <v>48</v>
      </c>
      <c r="AF688" s="2" t="s">
        <v>518</v>
      </c>
      <c r="AG688" s="2" t="s">
        <v>161</v>
      </c>
      <c r="AH688" s="2" t="s">
        <v>162</v>
      </c>
      <c r="AI688" s="2" t="s">
        <v>27</v>
      </c>
      <c r="AJ688" s="23">
        <v>4</v>
      </c>
      <c r="AK688" s="23">
        <v>387</v>
      </c>
      <c r="AL688" s="23">
        <v>1002</v>
      </c>
      <c r="AM688" s="24">
        <v>0.38622754491017902</v>
      </c>
      <c r="AN688" s="44" t="str">
        <f>VLOOKUP(flu_aw25[[#This Row],[trust_code]],trust_lookup[],3,0)</f>
        <v>RNOH</v>
      </c>
    </row>
    <row r="689" spans="11:40" x14ac:dyDescent="0.35">
      <c r="K689" s="2" t="s">
        <v>519</v>
      </c>
      <c r="L689" s="2" t="s">
        <v>30</v>
      </c>
      <c r="M689" s="2" t="s">
        <v>31</v>
      </c>
      <c r="N689" s="2" t="s">
        <v>190</v>
      </c>
      <c r="O689" s="2" t="s">
        <v>75</v>
      </c>
      <c r="P689" s="2">
        <v>79</v>
      </c>
      <c r="R689" s="43">
        <v>45565</v>
      </c>
      <c r="S689" s="2">
        <v>40</v>
      </c>
      <c r="T689" s="2" t="s">
        <v>519</v>
      </c>
      <c r="U689" s="2" t="s">
        <v>170</v>
      </c>
      <c r="V689" s="2" t="s">
        <v>171</v>
      </c>
      <c r="W689" s="2" t="s">
        <v>194</v>
      </c>
      <c r="X689" s="23">
        <v>320</v>
      </c>
      <c r="Y689" s="23">
        <v>335</v>
      </c>
      <c r="Z689" s="23">
        <v>6877</v>
      </c>
      <c r="AA689" s="24">
        <v>4.8713101643158299E-2</v>
      </c>
      <c r="AB689" s="14" t="str">
        <f>VLOOKUP(flu_aw24[[#This Row],[trust_code]],trust_lookup[],3,0)</f>
        <v>St George's</v>
      </c>
      <c r="AD689" s="43">
        <v>45992</v>
      </c>
      <c r="AE689" s="2">
        <v>49</v>
      </c>
      <c r="AF689" s="2" t="s">
        <v>518</v>
      </c>
      <c r="AG689" s="2" t="s">
        <v>161</v>
      </c>
      <c r="AH689" s="2" t="s">
        <v>162</v>
      </c>
      <c r="AI689" s="2" t="s">
        <v>27</v>
      </c>
      <c r="AJ689" s="23">
        <v>2</v>
      </c>
      <c r="AK689" s="23">
        <v>389</v>
      </c>
      <c r="AL689" s="23">
        <v>1002</v>
      </c>
      <c r="AM689" s="24">
        <v>0.38822355289421101</v>
      </c>
      <c r="AN689" s="44" t="str">
        <f>VLOOKUP(flu_aw25[[#This Row],[trust_code]],trust_lookup[],3,0)</f>
        <v>RNOH</v>
      </c>
    </row>
    <row r="690" spans="11:40" x14ac:dyDescent="0.35">
      <c r="K690" s="2" t="s">
        <v>519</v>
      </c>
      <c r="L690" s="2" t="s">
        <v>30</v>
      </c>
      <c r="M690" s="2" t="s">
        <v>31</v>
      </c>
      <c r="N690" s="2" t="s">
        <v>190</v>
      </c>
      <c r="O690" s="2" t="s">
        <v>106</v>
      </c>
      <c r="P690" s="2">
        <v>29</v>
      </c>
      <c r="R690" s="43">
        <v>45572</v>
      </c>
      <c r="S690" s="2">
        <v>41</v>
      </c>
      <c r="T690" s="2" t="s">
        <v>519</v>
      </c>
      <c r="U690" s="2" t="s">
        <v>170</v>
      </c>
      <c r="V690" s="2" t="s">
        <v>171</v>
      </c>
      <c r="W690" s="2" t="s">
        <v>194</v>
      </c>
      <c r="X690" s="23">
        <v>512</v>
      </c>
      <c r="Y690" s="23">
        <v>847</v>
      </c>
      <c r="Z690" s="23">
        <v>6877</v>
      </c>
      <c r="AA690" s="24">
        <v>0.12316417042314901</v>
      </c>
      <c r="AB690" s="14" t="str">
        <f>VLOOKUP(flu_aw24[[#This Row],[trust_code]],trust_lookup[],3,0)</f>
        <v>St George's</v>
      </c>
      <c r="AD690" s="43">
        <v>45999</v>
      </c>
      <c r="AE690" s="2">
        <v>50</v>
      </c>
      <c r="AF690" s="2" t="s">
        <v>518</v>
      </c>
      <c r="AG690" s="2" t="s">
        <v>161</v>
      </c>
      <c r="AH690" s="2" t="s">
        <v>162</v>
      </c>
      <c r="AI690" s="2" t="s">
        <v>27</v>
      </c>
      <c r="AJ690" s="23">
        <v>24</v>
      </c>
      <c r="AK690" s="23">
        <v>413</v>
      </c>
      <c r="AL690" s="23">
        <v>1002</v>
      </c>
      <c r="AM690" s="24">
        <v>0.41217564870259399</v>
      </c>
      <c r="AN690" s="44" t="str">
        <f>VLOOKUP(flu_aw25[[#This Row],[trust_code]],trust_lookup[],3,0)</f>
        <v>RNOH</v>
      </c>
    </row>
    <row r="691" spans="11:40" x14ac:dyDescent="0.35">
      <c r="K691" s="2" t="s">
        <v>519</v>
      </c>
      <c r="L691" s="2" t="s">
        <v>30</v>
      </c>
      <c r="M691" s="2" t="s">
        <v>31</v>
      </c>
      <c r="N691" s="2" t="s">
        <v>190</v>
      </c>
      <c r="O691" s="2" t="s">
        <v>112</v>
      </c>
      <c r="P691" s="2">
        <v>252</v>
      </c>
      <c r="R691" s="43">
        <v>45579</v>
      </c>
      <c r="S691" s="2">
        <v>42</v>
      </c>
      <c r="T691" s="2" t="s">
        <v>519</v>
      </c>
      <c r="U691" s="2" t="s">
        <v>170</v>
      </c>
      <c r="V691" s="2" t="s">
        <v>171</v>
      </c>
      <c r="W691" s="2" t="s">
        <v>194</v>
      </c>
      <c r="X691" s="23">
        <v>347</v>
      </c>
      <c r="Y691" s="23">
        <v>1194</v>
      </c>
      <c r="Z691" s="23">
        <v>6877</v>
      </c>
      <c r="AA691" s="24">
        <v>0.17362221899083899</v>
      </c>
      <c r="AB691" s="14" t="str">
        <f>VLOOKUP(flu_aw24[[#This Row],[trust_code]],trust_lookup[],3,0)</f>
        <v>St George's</v>
      </c>
      <c r="AD691" s="43">
        <v>46006</v>
      </c>
      <c r="AE691" s="2">
        <v>51</v>
      </c>
      <c r="AF691" s="2" t="s">
        <v>518</v>
      </c>
      <c r="AG691" s="2" t="s">
        <v>161</v>
      </c>
      <c r="AH691" s="2" t="s">
        <v>162</v>
      </c>
      <c r="AI691" s="2" t="s">
        <v>27</v>
      </c>
      <c r="AJ691" s="23">
        <v>5</v>
      </c>
      <c r="AK691" s="23">
        <v>418</v>
      </c>
      <c r="AL691" s="23">
        <v>1002</v>
      </c>
      <c r="AM691" s="24">
        <v>0.41716566866267402</v>
      </c>
      <c r="AN691" s="44" t="str">
        <f>VLOOKUP(flu_aw25[[#This Row],[trust_code]],trust_lookup[],3,0)</f>
        <v>RNOH</v>
      </c>
    </row>
    <row r="692" spans="11:40" x14ac:dyDescent="0.35">
      <c r="K692" s="2" t="s">
        <v>519</v>
      </c>
      <c r="L692" s="2" t="s">
        <v>30</v>
      </c>
      <c r="M692" s="2" t="s">
        <v>31</v>
      </c>
      <c r="N692" s="2" t="s">
        <v>190</v>
      </c>
      <c r="O692" s="2" t="s">
        <v>36</v>
      </c>
      <c r="P692" s="2">
        <v>109</v>
      </c>
      <c r="R692" s="43">
        <v>45586</v>
      </c>
      <c r="S692" s="2">
        <v>43</v>
      </c>
      <c r="T692" s="2" t="s">
        <v>519</v>
      </c>
      <c r="U692" s="2" t="s">
        <v>170</v>
      </c>
      <c r="V692" s="2" t="s">
        <v>171</v>
      </c>
      <c r="W692" s="2" t="s">
        <v>194</v>
      </c>
      <c r="X692" s="23">
        <v>314</v>
      </c>
      <c r="Y692" s="23">
        <v>1508</v>
      </c>
      <c r="Z692" s="23">
        <v>6877</v>
      </c>
      <c r="AA692" s="24">
        <v>0.21928166351606801</v>
      </c>
      <c r="AB692" s="14" t="str">
        <f>VLOOKUP(flu_aw24[[#This Row],[trust_code]],trust_lookup[],3,0)</f>
        <v>St George's</v>
      </c>
      <c r="AD692" s="43">
        <v>46013</v>
      </c>
      <c r="AE692" s="2">
        <v>52</v>
      </c>
      <c r="AF692" s="2" t="s">
        <v>518</v>
      </c>
      <c r="AG692" s="2" t="s">
        <v>161</v>
      </c>
      <c r="AH692" s="2" t="s">
        <v>162</v>
      </c>
      <c r="AI692" s="2" t="s">
        <v>27</v>
      </c>
      <c r="AJ692" s="23">
        <v>3</v>
      </c>
      <c r="AK692" s="23">
        <v>421</v>
      </c>
      <c r="AL692" s="23">
        <v>1002</v>
      </c>
      <c r="AM692" s="24">
        <v>0.420159680638722</v>
      </c>
      <c r="AN692" s="44" t="str">
        <f>VLOOKUP(flu_aw25[[#This Row],[trust_code]],trust_lookup[],3,0)</f>
        <v>RNOH</v>
      </c>
    </row>
    <row r="693" spans="11:40" x14ac:dyDescent="0.35">
      <c r="K693" s="2" t="s">
        <v>519</v>
      </c>
      <c r="L693" s="2" t="s">
        <v>37</v>
      </c>
      <c r="M693" s="2" t="s">
        <v>38</v>
      </c>
      <c r="N693" s="2" t="s">
        <v>190</v>
      </c>
      <c r="O693" s="2" t="s">
        <v>68</v>
      </c>
      <c r="P693" s="2">
        <v>1835</v>
      </c>
      <c r="R693" s="43">
        <v>45593</v>
      </c>
      <c r="S693" s="2">
        <v>44</v>
      </c>
      <c r="T693" s="2" t="s">
        <v>519</v>
      </c>
      <c r="U693" s="2" t="s">
        <v>170</v>
      </c>
      <c r="V693" s="2" t="s">
        <v>171</v>
      </c>
      <c r="W693" s="2" t="s">
        <v>194</v>
      </c>
      <c r="X693" s="23">
        <v>231</v>
      </c>
      <c r="Y693" s="23">
        <v>1739</v>
      </c>
      <c r="Z693" s="23">
        <v>6877</v>
      </c>
      <c r="AA693" s="24">
        <v>0.25287189181329001</v>
      </c>
      <c r="AB693" s="14" t="str">
        <f>VLOOKUP(flu_aw24[[#This Row],[trust_code]],trust_lookup[],3,0)</f>
        <v>St George's</v>
      </c>
      <c r="AD693" s="43">
        <v>46027</v>
      </c>
      <c r="AE693" s="2">
        <v>2</v>
      </c>
      <c r="AF693" s="2" t="s">
        <v>518</v>
      </c>
      <c r="AG693" s="2" t="s">
        <v>161</v>
      </c>
      <c r="AH693" s="2" t="s">
        <v>162</v>
      </c>
      <c r="AI693" s="2" t="s">
        <v>27</v>
      </c>
      <c r="AJ693" s="23">
        <v>1</v>
      </c>
      <c r="AK693" s="23">
        <v>422</v>
      </c>
      <c r="AL693" s="23">
        <v>1002</v>
      </c>
      <c r="AM693" s="24">
        <v>0.42115768463073799</v>
      </c>
      <c r="AN693" s="44" t="str">
        <f>VLOOKUP(flu_aw25[[#This Row],[trust_code]],trust_lookup[],3,0)</f>
        <v>RNOH</v>
      </c>
    </row>
    <row r="694" spans="11:40" x14ac:dyDescent="0.35">
      <c r="K694" s="2" t="s">
        <v>519</v>
      </c>
      <c r="L694" s="2" t="s">
        <v>37</v>
      </c>
      <c r="M694" s="2" t="s">
        <v>38</v>
      </c>
      <c r="N694" s="2" t="s">
        <v>190</v>
      </c>
      <c r="O694" s="2" t="s">
        <v>135</v>
      </c>
      <c r="P694" s="2">
        <v>87</v>
      </c>
      <c r="R694" s="43">
        <v>45600</v>
      </c>
      <c r="S694" s="2">
        <v>45</v>
      </c>
      <c r="T694" s="2" t="s">
        <v>519</v>
      </c>
      <c r="U694" s="2" t="s">
        <v>170</v>
      </c>
      <c r="V694" s="2" t="s">
        <v>171</v>
      </c>
      <c r="W694" s="2" t="s">
        <v>194</v>
      </c>
      <c r="X694" s="23">
        <v>197</v>
      </c>
      <c r="Y694" s="23">
        <v>1936</v>
      </c>
      <c r="Z694" s="23">
        <v>6877</v>
      </c>
      <c r="AA694" s="24">
        <v>0.281518103824342</v>
      </c>
      <c r="AB694" s="14" t="str">
        <f>VLOOKUP(flu_aw24[[#This Row],[trust_code]],trust_lookup[],3,0)</f>
        <v>St George's</v>
      </c>
      <c r="AD694" s="43">
        <v>46034</v>
      </c>
      <c r="AE694" s="2">
        <v>3</v>
      </c>
      <c r="AF694" s="2" t="s">
        <v>518</v>
      </c>
      <c r="AG694" s="2" t="s">
        <v>161</v>
      </c>
      <c r="AH694" s="2" t="s">
        <v>162</v>
      </c>
      <c r="AI694" s="2" t="s">
        <v>27</v>
      </c>
      <c r="AJ694" s="23">
        <v>2</v>
      </c>
      <c r="AK694" s="23">
        <v>424</v>
      </c>
      <c r="AL694" s="23">
        <v>1002</v>
      </c>
      <c r="AM694" s="24">
        <v>0.42315369261476998</v>
      </c>
      <c r="AN694" s="44" t="str">
        <f>VLOOKUP(flu_aw25[[#This Row],[trust_code]],trust_lookup[],3,0)</f>
        <v>RNOH</v>
      </c>
    </row>
    <row r="695" spans="11:40" x14ac:dyDescent="0.35">
      <c r="K695" s="2" t="s">
        <v>519</v>
      </c>
      <c r="L695" s="2" t="s">
        <v>37</v>
      </c>
      <c r="M695" s="2" t="s">
        <v>38</v>
      </c>
      <c r="N695" s="2" t="s">
        <v>190</v>
      </c>
      <c r="O695" s="2" t="s">
        <v>54</v>
      </c>
      <c r="P695" s="2">
        <v>576</v>
      </c>
      <c r="R695" s="43">
        <v>45607</v>
      </c>
      <c r="S695" s="2">
        <v>46</v>
      </c>
      <c r="T695" s="2" t="s">
        <v>519</v>
      </c>
      <c r="U695" s="2" t="s">
        <v>170</v>
      </c>
      <c r="V695" s="2" t="s">
        <v>171</v>
      </c>
      <c r="W695" s="2" t="s">
        <v>194</v>
      </c>
      <c r="X695" s="23">
        <v>166</v>
      </c>
      <c r="Y695" s="23">
        <v>2102</v>
      </c>
      <c r="Z695" s="23">
        <v>6877</v>
      </c>
      <c r="AA695" s="24">
        <v>0.305656536280354</v>
      </c>
      <c r="AB695" s="14" t="str">
        <f>VLOOKUP(flu_aw24[[#This Row],[trust_code]],trust_lookup[],3,0)</f>
        <v>St George's</v>
      </c>
      <c r="AD695" s="43">
        <v>46041</v>
      </c>
      <c r="AE695" s="2">
        <v>4</v>
      </c>
      <c r="AF695" s="2" t="s">
        <v>518</v>
      </c>
      <c r="AG695" s="2" t="s">
        <v>161</v>
      </c>
      <c r="AH695" s="2" t="s">
        <v>162</v>
      </c>
      <c r="AI695" s="2" t="s">
        <v>27</v>
      </c>
      <c r="AJ695" s="23">
        <v>1</v>
      </c>
      <c r="AK695" s="23">
        <v>425</v>
      </c>
      <c r="AL695" s="23">
        <v>1002</v>
      </c>
      <c r="AM695" s="24">
        <v>0.42415169660678598</v>
      </c>
      <c r="AN695" s="44" t="str">
        <f>VLOOKUP(flu_aw25[[#This Row],[trust_code]],trust_lookup[],3,0)</f>
        <v>RNOH</v>
      </c>
    </row>
    <row r="696" spans="11:40" x14ac:dyDescent="0.35">
      <c r="K696" s="2" t="s">
        <v>519</v>
      </c>
      <c r="L696" s="2" t="s">
        <v>37</v>
      </c>
      <c r="M696" s="2" t="s">
        <v>38</v>
      </c>
      <c r="N696" s="2" t="s">
        <v>190</v>
      </c>
      <c r="O696" s="2" t="s">
        <v>129</v>
      </c>
      <c r="P696" s="2">
        <v>22</v>
      </c>
      <c r="R696" s="43">
        <v>45614</v>
      </c>
      <c r="S696" s="2">
        <v>47</v>
      </c>
      <c r="T696" s="2" t="s">
        <v>519</v>
      </c>
      <c r="U696" s="2" t="s">
        <v>170</v>
      </c>
      <c r="V696" s="2" t="s">
        <v>171</v>
      </c>
      <c r="W696" s="2" t="s">
        <v>194</v>
      </c>
      <c r="X696" s="23">
        <v>155</v>
      </c>
      <c r="Y696" s="23">
        <v>2257</v>
      </c>
      <c r="Z696" s="23">
        <v>6877</v>
      </c>
      <c r="AA696" s="24">
        <v>0.32819543405554702</v>
      </c>
      <c r="AB696" s="14" t="str">
        <f>VLOOKUP(flu_aw24[[#This Row],[trust_code]],trust_lookup[],3,0)</f>
        <v>St George's</v>
      </c>
      <c r="AD696" s="43">
        <v>46055</v>
      </c>
      <c r="AE696" s="2">
        <v>6</v>
      </c>
      <c r="AF696" s="2" t="s">
        <v>518</v>
      </c>
      <c r="AG696" s="2" t="s">
        <v>161</v>
      </c>
      <c r="AH696" s="2" t="s">
        <v>162</v>
      </c>
      <c r="AI696" s="2" t="s">
        <v>27</v>
      </c>
      <c r="AJ696" s="23">
        <v>1</v>
      </c>
      <c r="AK696" s="23">
        <v>426</v>
      </c>
      <c r="AL696" s="23">
        <v>1002</v>
      </c>
      <c r="AM696" s="24">
        <v>0.42514970059880203</v>
      </c>
      <c r="AN696" s="44" t="str">
        <f>VLOOKUP(flu_aw25[[#This Row],[trust_code]],trust_lookup[],3,0)</f>
        <v>RNOH</v>
      </c>
    </row>
    <row r="697" spans="11:40" x14ac:dyDescent="0.35">
      <c r="K697" s="2" t="s">
        <v>519</v>
      </c>
      <c r="L697" s="2" t="s">
        <v>37</v>
      </c>
      <c r="M697" s="2" t="s">
        <v>38</v>
      </c>
      <c r="N697" s="2" t="s">
        <v>190</v>
      </c>
      <c r="O697" s="2" t="s">
        <v>47</v>
      </c>
      <c r="P697" s="2">
        <v>36</v>
      </c>
      <c r="R697" s="43">
        <v>45621</v>
      </c>
      <c r="S697" s="2">
        <v>48</v>
      </c>
      <c r="T697" s="2" t="s">
        <v>519</v>
      </c>
      <c r="U697" s="2" t="s">
        <v>170</v>
      </c>
      <c r="V697" s="2" t="s">
        <v>171</v>
      </c>
      <c r="W697" s="2" t="s">
        <v>194</v>
      </c>
      <c r="X697" s="23">
        <v>134</v>
      </c>
      <c r="Y697" s="23">
        <v>2391</v>
      </c>
      <c r="Z697" s="23">
        <v>6877</v>
      </c>
      <c r="AA697" s="24">
        <v>0.34768067471281</v>
      </c>
      <c r="AB697" s="14" t="str">
        <f>VLOOKUP(flu_aw24[[#This Row],[trust_code]],trust_lookup[],3,0)</f>
        <v>St George's</v>
      </c>
      <c r="AD697" s="43">
        <v>46069</v>
      </c>
      <c r="AE697" s="2">
        <v>8</v>
      </c>
      <c r="AF697" s="2" t="s">
        <v>518</v>
      </c>
      <c r="AG697" s="2" t="s">
        <v>161</v>
      </c>
      <c r="AH697" s="2" t="s">
        <v>162</v>
      </c>
      <c r="AI697" s="2" t="s">
        <v>27</v>
      </c>
      <c r="AJ697" s="23">
        <v>1</v>
      </c>
      <c r="AK697" s="23">
        <v>427</v>
      </c>
      <c r="AL697" s="23">
        <v>1002</v>
      </c>
      <c r="AM697" s="24">
        <v>0.42614770459081802</v>
      </c>
      <c r="AN697" s="44" t="str">
        <f>VLOOKUP(flu_aw25[[#This Row],[trust_code]],trust_lookup[],3,0)</f>
        <v>RNOH</v>
      </c>
    </row>
    <row r="698" spans="11:40" x14ac:dyDescent="0.35">
      <c r="K698" s="2" t="s">
        <v>519</v>
      </c>
      <c r="L698" s="2" t="s">
        <v>37</v>
      </c>
      <c r="M698" s="2" t="s">
        <v>38</v>
      </c>
      <c r="N698" s="2" t="s">
        <v>190</v>
      </c>
      <c r="O698" s="2" t="s">
        <v>94</v>
      </c>
      <c r="P698" s="2">
        <v>42</v>
      </c>
      <c r="R698" s="43">
        <v>45628</v>
      </c>
      <c r="S698" s="2">
        <v>49</v>
      </c>
      <c r="T698" s="2" t="s">
        <v>519</v>
      </c>
      <c r="U698" s="2" t="s">
        <v>170</v>
      </c>
      <c r="V698" s="2" t="s">
        <v>171</v>
      </c>
      <c r="W698" s="2" t="s">
        <v>194</v>
      </c>
      <c r="X698" s="23">
        <v>91</v>
      </c>
      <c r="Y698" s="23">
        <v>2482</v>
      </c>
      <c r="Z698" s="23">
        <v>6877</v>
      </c>
      <c r="AA698" s="24">
        <v>0.360913188890504</v>
      </c>
      <c r="AB698" s="14" t="str">
        <f>VLOOKUP(flu_aw24[[#This Row],[trust_code]],trust_lookup[],3,0)</f>
        <v>St George's</v>
      </c>
      <c r="AD698" s="43">
        <v>45901</v>
      </c>
      <c r="AE698" s="2">
        <v>36</v>
      </c>
      <c r="AF698" s="2" t="s">
        <v>518</v>
      </c>
      <c r="AG698" s="2" t="s">
        <v>164</v>
      </c>
      <c r="AH698" s="2" t="s">
        <v>165</v>
      </c>
      <c r="AI698" s="2" t="s">
        <v>193</v>
      </c>
      <c r="AJ698" s="23">
        <v>1</v>
      </c>
      <c r="AK698" s="23">
        <v>1</v>
      </c>
      <c r="AL698" s="23">
        <v>4107</v>
      </c>
      <c r="AM698" s="24">
        <v>2.4348672997321599E-4</v>
      </c>
      <c r="AN698" s="44" t="str">
        <f>VLOOKUP(flu_aw25[[#This Row],[trust_code]],trust_lookup[],3,0)</f>
        <v>SLAM</v>
      </c>
    </row>
    <row r="699" spans="11:40" x14ac:dyDescent="0.35">
      <c r="K699" s="2" t="s">
        <v>519</v>
      </c>
      <c r="L699" s="2" t="s">
        <v>37</v>
      </c>
      <c r="M699" s="2" t="s">
        <v>38</v>
      </c>
      <c r="N699" s="2" t="s">
        <v>190</v>
      </c>
      <c r="O699" s="2" t="s">
        <v>29</v>
      </c>
      <c r="P699" s="2">
        <v>110</v>
      </c>
      <c r="R699" s="43">
        <v>45635</v>
      </c>
      <c r="S699" s="2">
        <v>50</v>
      </c>
      <c r="T699" s="2" t="s">
        <v>519</v>
      </c>
      <c r="U699" s="2" t="s">
        <v>170</v>
      </c>
      <c r="V699" s="2" t="s">
        <v>171</v>
      </c>
      <c r="W699" s="2" t="s">
        <v>194</v>
      </c>
      <c r="X699" s="23">
        <v>74</v>
      </c>
      <c r="Y699" s="23">
        <v>2556</v>
      </c>
      <c r="Z699" s="23">
        <v>6877</v>
      </c>
      <c r="AA699" s="24">
        <v>0.37167369492511199</v>
      </c>
      <c r="AB699" s="14" t="str">
        <f>VLOOKUP(flu_aw24[[#This Row],[trust_code]],trust_lookup[],3,0)</f>
        <v>St George's</v>
      </c>
      <c r="AD699" s="43">
        <v>45908</v>
      </c>
      <c r="AE699" s="2">
        <v>37</v>
      </c>
      <c r="AF699" s="2" t="s">
        <v>518</v>
      </c>
      <c r="AG699" s="2" t="s">
        <v>164</v>
      </c>
      <c r="AH699" s="2" t="s">
        <v>165</v>
      </c>
      <c r="AI699" s="2" t="s">
        <v>193</v>
      </c>
      <c r="AJ699" s="23">
        <v>1</v>
      </c>
      <c r="AK699" s="23">
        <v>2</v>
      </c>
      <c r="AL699" s="23">
        <v>4107</v>
      </c>
      <c r="AM699" s="24">
        <v>4.8697345994643199E-4</v>
      </c>
      <c r="AN699" s="44" t="str">
        <f>VLOOKUP(flu_aw25[[#This Row],[trust_code]],trust_lookup[],3,0)</f>
        <v>SLAM</v>
      </c>
    </row>
    <row r="700" spans="11:40" x14ac:dyDescent="0.35">
      <c r="K700" s="2" t="s">
        <v>519</v>
      </c>
      <c r="L700" s="2" t="s">
        <v>37</v>
      </c>
      <c r="M700" s="2" t="s">
        <v>38</v>
      </c>
      <c r="N700" s="2" t="s">
        <v>190</v>
      </c>
      <c r="O700" s="2" t="s">
        <v>123</v>
      </c>
      <c r="P700" s="2">
        <v>546</v>
      </c>
      <c r="R700" s="43">
        <v>45642</v>
      </c>
      <c r="S700" s="2">
        <v>51</v>
      </c>
      <c r="T700" s="2" t="s">
        <v>519</v>
      </c>
      <c r="U700" s="2" t="s">
        <v>170</v>
      </c>
      <c r="V700" s="2" t="s">
        <v>171</v>
      </c>
      <c r="W700" s="2" t="s">
        <v>194</v>
      </c>
      <c r="X700" s="23">
        <v>93</v>
      </c>
      <c r="Y700" s="23">
        <v>2649</v>
      </c>
      <c r="Z700" s="23">
        <v>6877</v>
      </c>
      <c r="AA700" s="24">
        <v>0.385197033590228</v>
      </c>
      <c r="AB700" s="14" t="str">
        <f>VLOOKUP(flu_aw24[[#This Row],[trust_code]],trust_lookup[],3,0)</f>
        <v>St George's</v>
      </c>
      <c r="AD700" s="43">
        <v>45929</v>
      </c>
      <c r="AE700" s="2">
        <v>40</v>
      </c>
      <c r="AF700" s="2" t="s">
        <v>518</v>
      </c>
      <c r="AG700" s="2" t="s">
        <v>164</v>
      </c>
      <c r="AH700" s="2" t="s">
        <v>165</v>
      </c>
      <c r="AI700" s="2" t="s">
        <v>193</v>
      </c>
      <c r="AJ700" s="23">
        <v>171</v>
      </c>
      <c r="AK700" s="23">
        <v>173</v>
      </c>
      <c r="AL700" s="23">
        <v>4107</v>
      </c>
      <c r="AM700" s="24">
        <v>4.2123204285366402E-2</v>
      </c>
      <c r="AN700" s="44" t="str">
        <f>VLOOKUP(flu_aw25[[#This Row],[trust_code]],trust_lookup[],3,0)</f>
        <v>SLAM</v>
      </c>
    </row>
    <row r="701" spans="11:40" x14ac:dyDescent="0.35">
      <c r="K701" s="2" t="s">
        <v>519</v>
      </c>
      <c r="L701" s="2" t="s">
        <v>37</v>
      </c>
      <c r="M701" s="2" t="s">
        <v>38</v>
      </c>
      <c r="N701" s="2" t="s">
        <v>190</v>
      </c>
      <c r="O701" s="2" t="s">
        <v>82</v>
      </c>
      <c r="P701" s="2">
        <v>135</v>
      </c>
      <c r="R701" s="43">
        <v>45649</v>
      </c>
      <c r="S701" s="2">
        <v>52</v>
      </c>
      <c r="T701" s="2" t="s">
        <v>519</v>
      </c>
      <c r="U701" s="2" t="s">
        <v>170</v>
      </c>
      <c r="V701" s="2" t="s">
        <v>171</v>
      </c>
      <c r="W701" s="2" t="s">
        <v>194</v>
      </c>
      <c r="X701" s="23">
        <v>4</v>
      </c>
      <c r="Y701" s="23">
        <v>2653</v>
      </c>
      <c r="Z701" s="23">
        <v>6877</v>
      </c>
      <c r="AA701" s="24">
        <v>0.38577868256507197</v>
      </c>
      <c r="AB701" s="14" t="str">
        <f>VLOOKUP(flu_aw24[[#This Row],[trust_code]],trust_lookup[],3,0)</f>
        <v>St George's</v>
      </c>
      <c r="AD701" s="43">
        <v>45936</v>
      </c>
      <c r="AE701" s="2">
        <v>41</v>
      </c>
      <c r="AF701" s="2" t="s">
        <v>518</v>
      </c>
      <c r="AG701" s="2" t="s">
        <v>164</v>
      </c>
      <c r="AH701" s="2" t="s">
        <v>165</v>
      </c>
      <c r="AI701" s="2" t="s">
        <v>193</v>
      </c>
      <c r="AJ701" s="23">
        <v>231</v>
      </c>
      <c r="AK701" s="23">
        <v>404</v>
      </c>
      <c r="AL701" s="23">
        <v>4107</v>
      </c>
      <c r="AM701" s="24">
        <v>9.8368638909179407E-2</v>
      </c>
      <c r="AN701" s="44" t="str">
        <f>VLOOKUP(flu_aw25[[#This Row],[trust_code]],trust_lookup[],3,0)</f>
        <v>SLAM</v>
      </c>
    </row>
    <row r="702" spans="11:40" x14ac:dyDescent="0.35">
      <c r="K702" s="2" t="s">
        <v>519</v>
      </c>
      <c r="L702" s="2" t="s">
        <v>37</v>
      </c>
      <c r="M702" s="2" t="s">
        <v>38</v>
      </c>
      <c r="N702" s="2" t="s">
        <v>190</v>
      </c>
      <c r="O702" s="2" t="s">
        <v>88</v>
      </c>
      <c r="P702" s="2">
        <v>177</v>
      </c>
      <c r="R702" s="43">
        <v>45656</v>
      </c>
      <c r="S702" s="2">
        <v>1</v>
      </c>
      <c r="T702" s="2" t="s">
        <v>519</v>
      </c>
      <c r="U702" s="2" t="s">
        <v>170</v>
      </c>
      <c r="V702" s="2" t="s">
        <v>171</v>
      </c>
      <c r="W702" s="2" t="s">
        <v>194</v>
      </c>
      <c r="X702" s="23">
        <v>5</v>
      </c>
      <c r="Y702" s="23">
        <v>2658</v>
      </c>
      <c r="Z702" s="23">
        <v>6877</v>
      </c>
      <c r="AA702" s="24">
        <v>0.38650574378362601</v>
      </c>
      <c r="AB702" s="14" t="str">
        <f>VLOOKUP(flu_aw24[[#This Row],[trust_code]],trust_lookup[],3,0)</f>
        <v>St George's</v>
      </c>
      <c r="AD702" s="43">
        <v>45943</v>
      </c>
      <c r="AE702" s="2">
        <v>42</v>
      </c>
      <c r="AF702" s="2" t="s">
        <v>518</v>
      </c>
      <c r="AG702" s="2" t="s">
        <v>164</v>
      </c>
      <c r="AH702" s="2" t="s">
        <v>165</v>
      </c>
      <c r="AI702" s="2" t="s">
        <v>193</v>
      </c>
      <c r="AJ702" s="23">
        <v>165</v>
      </c>
      <c r="AK702" s="23">
        <v>569</v>
      </c>
      <c r="AL702" s="23">
        <v>4107</v>
      </c>
      <c r="AM702" s="24">
        <v>0.13854394935476</v>
      </c>
      <c r="AN702" s="44" t="str">
        <f>VLOOKUP(flu_aw25[[#This Row],[trust_code]],trust_lookup[],3,0)</f>
        <v>SLAM</v>
      </c>
    </row>
    <row r="703" spans="11:40" x14ac:dyDescent="0.35">
      <c r="K703" s="2" t="s">
        <v>519</v>
      </c>
      <c r="L703" s="2" t="s">
        <v>37</v>
      </c>
      <c r="M703" s="2" t="s">
        <v>38</v>
      </c>
      <c r="N703" s="2" t="s">
        <v>190</v>
      </c>
      <c r="O703" s="2" t="s">
        <v>141</v>
      </c>
      <c r="P703" s="2">
        <v>539</v>
      </c>
      <c r="R703" s="43">
        <v>45663</v>
      </c>
      <c r="S703" s="2">
        <v>2</v>
      </c>
      <c r="T703" s="2" t="s">
        <v>519</v>
      </c>
      <c r="U703" s="2" t="s">
        <v>170</v>
      </c>
      <c r="V703" s="2" t="s">
        <v>171</v>
      </c>
      <c r="W703" s="2" t="s">
        <v>194</v>
      </c>
      <c r="X703" s="23">
        <v>37</v>
      </c>
      <c r="Y703" s="23">
        <v>2695</v>
      </c>
      <c r="Z703" s="23">
        <v>6877</v>
      </c>
      <c r="AA703" s="24">
        <v>0.39188599680093</v>
      </c>
      <c r="AB703" s="14" t="str">
        <f>VLOOKUP(flu_aw24[[#This Row],[trust_code]],trust_lookup[],3,0)</f>
        <v>St George's</v>
      </c>
      <c r="AD703" s="43">
        <v>45950</v>
      </c>
      <c r="AE703" s="2">
        <v>43</v>
      </c>
      <c r="AF703" s="2" t="s">
        <v>518</v>
      </c>
      <c r="AG703" s="2" t="s">
        <v>164</v>
      </c>
      <c r="AH703" s="2" t="s">
        <v>165</v>
      </c>
      <c r="AI703" s="2" t="s">
        <v>193</v>
      </c>
      <c r="AJ703" s="23">
        <v>185</v>
      </c>
      <c r="AK703" s="23">
        <v>754</v>
      </c>
      <c r="AL703" s="23">
        <v>4107</v>
      </c>
      <c r="AM703" s="24">
        <v>0.183588994399805</v>
      </c>
      <c r="AN703" s="44" t="str">
        <f>VLOOKUP(flu_aw25[[#This Row],[trust_code]],trust_lookup[],3,0)</f>
        <v>SLAM</v>
      </c>
    </row>
    <row r="704" spans="11:40" x14ac:dyDescent="0.35">
      <c r="K704" s="2" t="s">
        <v>519</v>
      </c>
      <c r="L704" s="2" t="s">
        <v>37</v>
      </c>
      <c r="M704" s="2" t="s">
        <v>38</v>
      </c>
      <c r="N704" s="2" t="s">
        <v>190</v>
      </c>
      <c r="O704" s="2" t="s">
        <v>61</v>
      </c>
      <c r="P704" s="2">
        <v>72</v>
      </c>
      <c r="R704" s="43">
        <v>45670</v>
      </c>
      <c r="S704" s="2">
        <v>3</v>
      </c>
      <c r="T704" s="2" t="s">
        <v>519</v>
      </c>
      <c r="U704" s="2" t="s">
        <v>170</v>
      </c>
      <c r="V704" s="2" t="s">
        <v>171</v>
      </c>
      <c r="W704" s="2" t="s">
        <v>194</v>
      </c>
      <c r="X704" s="23">
        <v>32</v>
      </c>
      <c r="Y704" s="23">
        <v>2727</v>
      </c>
      <c r="Z704" s="23">
        <v>6877</v>
      </c>
      <c r="AA704" s="24">
        <v>0.39653918859968001</v>
      </c>
      <c r="AB704" s="14" t="str">
        <f>VLOOKUP(flu_aw24[[#This Row],[trust_code]],trust_lookup[],3,0)</f>
        <v>St George's</v>
      </c>
      <c r="AD704" s="43">
        <v>45957</v>
      </c>
      <c r="AE704" s="2">
        <v>44</v>
      </c>
      <c r="AF704" s="2" t="s">
        <v>518</v>
      </c>
      <c r="AG704" s="2" t="s">
        <v>164</v>
      </c>
      <c r="AH704" s="2" t="s">
        <v>165</v>
      </c>
      <c r="AI704" s="2" t="s">
        <v>193</v>
      </c>
      <c r="AJ704" s="23">
        <v>163</v>
      </c>
      <c r="AK704" s="23">
        <v>917</v>
      </c>
      <c r="AL704" s="23">
        <v>4107</v>
      </c>
      <c r="AM704" s="24">
        <v>0.22327733138543901</v>
      </c>
      <c r="AN704" s="44" t="str">
        <f>VLOOKUP(flu_aw25[[#This Row],[trust_code]],trust_lookup[],3,0)</f>
        <v>SLAM</v>
      </c>
    </row>
    <row r="705" spans="11:40" x14ac:dyDescent="0.35">
      <c r="K705" s="2" t="s">
        <v>519</v>
      </c>
      <c r="L705" s="2" t="s">
        <v>37</v>
      </c>
      <c r="M705" s="2" t="s">
        <v>38</v>
      </c>
      <c r="N705" s="2" t="s">
        <v>190</v>
      </c>
      <c r="O705" s="2" t="s">
        <v>100</v>
      </c>
      <c r="P705" s="2">
        <v>662</v>
      </c>
      <c r="R705" s="43">
        <v>45677</v>
      </c>
      <c r="S705" s="2">
        <v>4</v>
      </c>
      <c r="T705" s="2" t="s">
        <v>519</v>
      </c>
      <c r="U705" s="2" t="s">
        <v>170</v>
      </c>
      <c r="V705" s="2" t="s">
        <v>171</v>
      </c>
      <c r="W705" s="2" t="s">
        <v>194</v>
      </c>
      <c r="X705" s="23">
        <v>30</v>
      </c>
      <c r="Y705" s="23">
        <v>2757</v>
      </c>
      <c r="Z705" s="23">
        <v>6877</v>
      </c>
      <c r="AA705" s="24">
        <v>0.40090155591100701</v>
      </c>
      <c r="AB705" s="14" t="str">
        <f>VLOOKUP(flu_aw24[[#This Row],[trust_code]],trust_lookup[],3,0)</f>
        <v>St George's</v>
      </c>
      <c r="AD705" s="43">
        <v>45964</v>
      </c>
      <c r="AE705" s="2">
        <v>45</v>
      </c>
      <c r="AF705" s="2" t="s">
        <v>518</v>
      </c>
      <c r="AG705" s="2" t="s">
        <v>164</v>
      </c>
      <c r="AH705" s="2" t="s">
        <v>165</v>
      </c>
      <c r="AI705" s="2" t="s">
        <v>193</v>
      </c>
      <c r="AJ705" s="23">
        <v>113</v>
      </c>
      <c r="AK705" s="23">
        <v>1030</v>
      </c>
      <c r="AL705" s="23">
        <v>4107</v>
      </c>
      <c r="AM705" s="24">
        <v>0.25079133187241198</v>
      </c>
      <c r="AN705" s="44" t="str">
        <f>VLOOKUP(flu_aw25[[#This Row],[trust_code]],trust_lookup[],3,0)</f>
        <v>SLAM</v>
      </c>
    </row>
    <row r="706" spans="11:40" x14ac:dyDescent="0.35">
      <c r="K706" s="2" t="s">
        <v>519</v>
      </c>
      <c r="L706" s="2" t="s">
        <v>37</v>
      </c>
      <c r="M706" s="2" t="s">
        <v>38</v>
      </c>
      <c r="N706" s="2" t="s">
        <v>190</v>
      </c>
      <c r="O706" s="2" t="s">
        <v>75</v>
      </c>
      <c r="P706" s="2">
        <v>139</v>
      </c>
      <c r="R706" s="43">
        <v>45684</v>
      </c>
      <c r="S706" s="2">
        <v>5</v>
      </c>
      <c r="T706" s="2" t="s">
        <v>519</v>
      </c>
      <c r="U706" s="2" t="s">
        <v>170</v>
      </c>
      <c r="V706" s="2" t="s">
        <v>171</v>
      </c>
      <c r="W706" s="2" t="s">
        <v>194</v>
      </c>
      <c r="X706" s="23">
        <v>14</v>
      </c>
      <c r="Y706" s="23">
        <v>2771</v>
      </c>
      <c r="Z706" s="23">
        <v>6877</v>
      </c>
      <c r="AA706" s="24">
        <v>0.40293732732296</v>
      </c>
      <c r="AB706" s="14" t="str">
        <f>VLOOKUP(flu_aw24[[#This Row],[trust_code]],trust_lookup[],3,0)</f>
        <v>St George's</v>
      </c>
      <c r="AD706" s="43">
        <v>45971</v>
      </c>
      <c r="AE706" s="2">
        <v>46</v>
      </c>
      <c r="AF706" s="2" t="s">
        <v>518</v>
      </c>
      <c r="AG706" s="2" t="s">
        <v>164</v>
      </c>
      <c r="AH706" s="2" t="s">
        <v>165</v>
      </c>
      <c r="AI706" s="2" t="s">
        <v>193</v>
      </c>
      <c r="AJ706" s="23">
        <v>100</v>
      </c>
      <c r="AK706" s="23">
        <v>1130</v>
      </c>
      <c r="AL706" s="23">
        <v>4107</v>
      </c>
      <c r="AM706" s="24">
        <v>0.275140004869734</v>
      </c>
      <c r="AN706" s="44" t="str">
        <f>VLOOKUP(flu_aw25[[#This Row],[trust_code]],trust_lookup[],3,0)</f>
        <v>SLAM</v>
      </c>
    </row>
    <row r="707" spans="11:40" x14ac:dyDescent="0.35">
      <c r="K707" s="2" t="s">
        <v>519</v>
      </c>
      <c r="L707" s="2" t="s">
        <v>37</v>
      </c>
      <c r="M707" s="2" t="s">
        <v>38</v>
      </c>
      <c r="N707" s="2" t="s">
        <v>190</v>
      </c>
      <c r="O707" s="2" t="s">
        <v>106</v>
      </c>
      <c r="P707" s="2">
        <v>103</v>
      </c>
      <c r="R707" s="43">
        <v>45691</v>
      </c>
      <c r="S707" s="2">
        <v>6</v>
      </c>
      <c r="T707" s="2" t="s">
        <v>519</v>
      </c>
      <c r="U707" s="2" t="s">
        <v>170</v>
      </c>
      <c r="V707" s="2" t="s">
        <v>171</v>
      </c>
      <c r="W707" s="2" t="s">
        <v>194</v>
      </c>
      <c r="X707" s="23">
        <v>5</v>
      </c>
      <c r="Y707" s="23">
        <v>2776</v>
      </c>
      <c r="Z707" s="23">
        <v>6877</v>
      </c>
      <c r="AA707" s="24">
        <v>0.40366438854151498</v>
      </c>
      <c r="AB707" s="14" t="str">
        <f>VLOOKUP(flu_aw24[[#This Row],[trust_code]],trust_lookup[],3,0)</f>
        <v>St George's</v>
      </c>
      <c r="AD707" s="43">
        <v>45978</v>
      </c>
      <c r="AE707" s="2">
        <v>47</v>
      </c>
      <c r="AF707" s="2" t="s">
        <v>518</v>
      </c>
      <c r="AG707" s="2" t="s">
        <v>164</v>
      </c>
      <c r="AH707" s="2" t="s">
        <v>165</v>
      </c>
      <c r="AI707" s="2" t="s">
        <v>193</v>
      </c>
      <c r="AJ707" s="23">
        <v>103</v>
      </c>
      <c r="AK707" s="23">
        <v>1233</v>
      </c>
      <c r="AL707" s="23">
        <v>4107</v>
      </c>
      <c r="AM707" s="24">
        <v>0.30021913805697498</v>
      </c>
      <c r="AN707" s="44" t="str">
        <f>VLOOKUP(flu_aw25[[#This Row],[trust_code]],trust_lookup[],3,0)</f>
        <v>SLAM</v>
      </c>
    </row>
    <row r="708" spans="11:40" x14ac:dyDescent="0.35">
      <c r="K708" s="2" t="s">
        <v>519</v>
      </c>
      <c r="L708" s="2" t="s">
        <v>37</v>
      </c>
      <c r="M708" s="2" t="s">
        <v>38</v>
      </c>
      <c r="N708" s="2" t="s">
        <v>190</v>
      </c>
      <c r="O708" s="2" t="s">
        <v>112</v>
      </c>
      <c r="P708" s="2">
        <v>423</v>
      </c>
      <c r="R708" s="43">
        <v>45698</v>
      </c>
      <c r="S708" s="2">
        <v>7</v>
      </c>
      <c r="T708" s="2" t="s">
        <v>519</v>
      </c>
      <c r="U708" s="2" t="s">
        <v>170</v>
      </c>
      <c r="V708" s="2" t="s">
        <v>171</v>
      </c>
      <c r="W708" s="2" t="s">
        <v>194</v>
      </c>
      <c r="X708" s="23">
        <v>3</v>
      </c>
      <c r="Y708" s="23">
        <v>2779</v>
      </c>
      <c r="Z708" s="23">
        <v>6877</v>
      </c>
      <c r="AA708" s="24">
        <v>0.40410062527264701</v>
      </c>
      <c r="AB708" s="14" t="str">
        <f>VLOOKUP(flu_aw24[[#This Row],[trust_code]],trust_lookup[],3,0)</f>
        <v>St George's</v>
      </c>
      <c r="AD708" s="43">
        <v>45985</v>
      </c>
      <c r="AE708" s="2">
        <v>48</v>
      </c>
      <c r="AF708" s="2" t="s">
        <v>518</v>
      </c>
      <c r="AG708" s="2" t="s">
        <v>164</v>
      </c>
      <c r="AH708" s="2" t="s">
        <v>165</v>
      </c>
      <c r="AI708" s="2" t="s">
        <v>193</v>
      </c>
      <c r="AJ708" s="23">
        <v>80</v>
      </c>
      <c r="AK708" s="23">
        <v>1313</v>
      </c>
      <c r="AL708" s="23">
        <v>4107</v>
      </c>
      <c r="AM708" s="24">
        <v>0.319698076454833</v>
      </c>
      <c r="AN708" s="44" t="str">
        <f>VLOOKUP(flu_aw25[[#This Row],[trust_code]],trust_lookup[],3,0)</f>
        <v>SLAM</v>
      </c>
    </row>
    <row r="709" spans="11:40" x14ac:dyDescent="0.35">
      <c r="K709" s="2" t="s">
        <v>519</v>
      </c>
      <c r="L709" s="2" t="s">
        <v>37</v>
      </c>
      <c r="M709" s="2" t="s">
        <v>38</v>
      </c>
      <c r="N709" s="2" t="s">
        <v>190</v>
      </c>
      <c r="O709" s="2" t="s">
        <v>36</v>
      </c>
      <c r="P709" s="2">
        <v>289</v>
      </c>
      <c r="R709" s="43">
        <v>45705</v>
      </c>
      <c r="S709" s="2">
        <v>8</v>
      </c>
      <c r="T709" s="2" t="s">
        <v>519</v>
      </c>
      <c r="U709" s="2" t="s">
        <v>170</v>
      </c>
      <c r="V709" s="2" t="s">
        <v>171</v>
      </c>
      <c r="W709" s="2" t="s">
        <v>194</v>
      </c>
      <c r="X709" s="23">
        <v>1</v>
      </c>
      <c r="Y709" s="23">
        <v>2780</v>
      </c>
      <c r="Z709" s="23">
        <v>6877</v>
      </c>
      <c r="AA709" s="24">
        <v>0.40424603751635801</v>
      </c>
      <c r="AB709" s="14" t="str">
        <f>VLOOKUP(flu_aw24[[#This Row],[trust_code]],trust_lookup[],3,0)</f>
        <v>St George's</v>
      </c>
      <c r="AD709" s="43">
        <v>45992</v>
      </c>
      <c r="AE709" s="2">
        <v>49</v>
      </c>
      <c r="AF709" s="2" t="s">
        <v>518</v>
      </c>
      <c r="AG709" s="2" t="s">
        <v>164</v>
      </c>
      <c r="AH709" s="2" t="s">
        <v>165</v>
      </c>
      <c r="AI709" s="2" t="s">
        <v>193</v>
      </c>
      <c r="AJ709" s="23">
        <v>47</v>
      </c>
      <c r="AK709" s="23">
        <v>1360</v>
      </c>
      <c r="AL709" s="23">
        <v>4107</v>
      </c>
      <c r="AM709" s="24">
        <v>0.331141952763574</v>
      </c>
      <c r="AN709" s="44" t="str">
        <f>VLOOKUP(flu_aw25[[#This Row],[trust_code]],trust_lookup[],3,0)</f>
        <v>SLAM</v>
      </c>
    </row>
    <row r="710" spans="11:40" x14ac:dyDescent="0.35">
      <c r="K710" s="2" t="s">
        <v>519</v>
      </c>
      <c r="L710" s="2" t="s">
        <v>69</v>
      </c>
      <c r="M710" s="2" t="s">
        <v>70</v>
      </c>
      <c r="N710" s="2" t="s">
        <v>190</v>
      </c>
      <c r="O710" s="2" t="s">
        <v>68</v>
      </c>
      <c r="P710" s="2">
        <v>761</v>
      </c>
      <c r="R710" s="43">
        <v>45712</v>
      </c>
      <c r="S710" s="2">
        <v>9</v>
      </c>
      <c r="T710" s="2" t="s">
        <v>519</v>
      </c>
      <c r="U710" s="2" t="s">
        <v>170</v>
      </c>
      <c r="V710" s="2" t="s">
        <v>171</v>
      </c>
      <c r="W710" s="2" t="s">
        <v>194</v>
      </c>
      <c r="X710" s="23">
        <v>3</v>
      </c>
      <c r="Y710" s="23">
        <v>2783</v>
      </c>
      <c r="Z710" s="23">
        <v>6877</v>
      </c>
      <c r="AA710" s="24">
        <v>0.40468227424749098</v>
      </c>
      <c r="AB710" s="14" t="str">
        <f>VLOOKUP(flu_aw24[[#This Row],[trust_code]],trust_lookup[],3,0)</f>
        <v>St George's</v>
      </c>
      <c r="AD710" s="43">
        <v>45999</v>
      </c>
      <c r="AE710" s="2">
        <v>50</v>
      </c>
      <c r="AF710" s="2" t="s">
        <v>518</v>
      </c>
      <c r="AG710" s="2" t="s">
        <v>164</v>
      </c>
      <c r="AH710" s="2" t="s">
        <v>165</v>
      </c>
      <c r="AI710" s="2" t="s">
        <v>193</v>
      </c>
      <c r="AJ710" s="23">
        <v>91</v>
      </c>
      <c r="AK710" s="23">
        <v>1451</v>
      </c>
      <c r="AL710" s="23">
        <v>4107</v>
      </c>
      <c r="AM710" s="24">
        <v>0.35329924519113698</v>
      </c>
      <c r="AN710" s="44" t="str">
        <f>VLOOKUP(flu_aw25[[#This Row],[trust_code]],trust_lookup[],3,0)</f>
        <v>SLAM</v>
      </c>
    </row>
    <row r="711" spans="11:40" x14ac:dyDescent="0.35">
      <c r="K711" s="2" t="s">
        <v>519</v>
      </c>
      <c r="L711" s="2" t="s">
        <v>69</v>
      </c>
      <c r="M711" s="2" t="s">
        <v>70</v>
      </c>
      <c r="N711" s="2" t="s">
        <v>190</v>
      </c>
      <c r="O711" s="2" t="s">
        <v>135</v>
      </c>
      <c r="P711" s="2">
        <v>27</v>
      </c>
      <c r="R711" s="43">
        <v>45719</v>
      </c>
      <c r="S711" s="2">
        <v>10</v>
      </c>
      <c r="T711" s="2" t="s">
        <v>519</v>
      </c>
      <c r="U711" s="2" t="s">
        <v>170</v>
      </c>
      <c r="V711" s="2" t="s">
        <v>171</v>
      </c>
      <c r="W711" s="2" t="s">
        <v>194</v>
      </c>
      <c r="X711" s="23">
        <v>2</v>
      </c>
      <c r="Y711" s="23">
        <v>2785</v>
      </c>
      <c r="Z711" s="23">
        <v>6877</v>
      </c>
      <c r="AA711" s="24">
        <v>0.404973098734913</v>
      </c>
      <c r="AB711" s="14" t="str">
        <f>VLOOKUP(flu_aw24[[#This Row],[trust_code]],trust_lookup[],3,0)</f>
        <v>St George's</v>
      </c>
      <c r="AD711" s="43">
        <v>46006</v>
      </c>
      <c r="AE711" s="2">
        <v>51</v>
      </c>
      <c r="AF711" s="2" t="s">
        <v>518</v>
      </c>
      <c r="AG711" s="2" t="s">
        <v>164</v>
      </c>
      <c r="AH711" s="2" t="s">
        <v>165</v>
      </c>
      <c r="AI711" s="2" t="s">
        <v>193</v>
      </c>
      <c r="AJ711" s="23">
        <v>78</v>
      </c>
      <c r="AK711" s="23">
        <v>1529</v>
      </c>
      <c r="AL711" s="23">
        <v>4107</v>
      </c>
      <c r="AM711" s="24">
        <v>0.37229121012904798</v>
      </c>
      <c r="AN711" s="44" t="str">
        <f>VLOOKUP(flu_aw25[[#This Row],[trust_code]],trust_lookup[],3,0)</f>
        <v>SLAM</v>
      </c>
    </row>
    <row r="712" spans="11:40" x14ac:dyDescent="0.35">
      <c r="K712" s="2" t="s">
        <v>519</v>
      </c>
      <c r="L712" s="2" t="s">
        <v>69</v>
      </c>
      <c r="M712" s="2" t="s">
        <v>70</v>
      </c>
      <c r="N712" s="2" t="s">
        <v>190</v>
      </c>
      <c r="O712" s="2" t="s">
        <v>54</v>
      </c>
      <c r="P712" s="2">
        <v>167</v>
      </c>
      <c r="R712" s="43">
        <v>45726</v>
      </c>
      <c r="S712" s="2">
        <v>11</v>
      </c>
      <c r="T712" s="2" t="s">
        <v>519</v>
      </c>
      <c r="U712" s="2" t="s">
        <v>170</v>
      </c>
      <c r="V712" s="2" t="s">
        <v>171</v>
      </c>
      <c r="W712" s="2" t="s">
        <v>194</v>
      </c>
      <c r="X712" s="23">
        <v>2</v>
      </c>
      <c r="Y712" s="23">
        <v>2787</v>
      </c>
      <c r="Z712" s="23">
        <v>6877</v>
      </c>
      <c r="AA712" s="24">
        <v>0.40526392322233501</v>
      </c>
      <c r="AB712" s="14" t="str">
        <f>VLOOKUP(flu_aw24[[#This Row],[trust_code]],trust_lookup[],3,0)</f>
        <v>St George's</v>
      </c>
      <c r="AD712" s="43">
        <v>46013</v>
      </c>
      <c r="AE712" s="2">
        <v>52</v>
      </c>
      <c r="AF712" s="2" t="s">
        <v>518</v>
      </c>
      <c r="AG712" s="2" t="s">
        <v>164</v>
      </c>
      <c r="AH712" s="2" t="s">
        <v>165</v>
      </c>
      <c r="AI712" s="2" t="s">
        <v>193</v>
      </c>
      <c r="AJ712" s="23">
        <v>20</v>
      </c>
      <c r="AK712" s="23">
        <v>1549</v>
      </c>
      <c r="AL712" s="23">
        <v>4107</v>
      </c>
      <c r="AM712" s="24">
        <v>0.37716094472851203</v>
      </c>
      <c r="AN712" s="44" t="str">
        <f>VLOOKUP(flu_aw25[[#This Row],[trust_code]],trust_lookup[],3,0)</f>
        <v>SLAM</v>
      </c>
    </row>
    <row r="713" spans="11:40" x14ac:dyDescent="0.35">
      <c r="K713" s="2" t="s">
        <v>519</v>
      </c>
      <c r="L713" s="2" t="s">
        <v>69</v>
      </c>
      <c r="M713" s="2" t="s">
        <v>70</v>
      </c>
      <c r="N713" s="2" t="s">
        <v>190</v>
      </c>
      <c r="O713" s="2" t="s">
        <v>129</v>
      </c>
      <c r="P713" s="2">
        <v>6</v>
      </c>
      <c r="R713" s="43">
        <v>45733</v>
      </c>
      <c r="S713" s="2">
        <v>12</v>
      </c>
      <c r="T713" s="2" t="s">
        <v>519</v>
      </c>
      <c r="U713" s="2" t="s">
        <v>170</v>
      </c>
      <c r="V713" s="2" t="s">
        <v>171</v>
      </c>
      <c r="W713" s="2" t="s">
        <v>194</v>
      </c>
      <c r="X713" s="23">
        <v>1</v>
      </c>
      <c r="Y713" s="23">
        <v>2788</v>
      </c>
      <c r="Z713" s="23">
        <v>6877</v>
      </c>
      <c r="AA713" s="24">
        <v>0.40540933546604602</v>
      </c>
      <c r="AB713" s="14" t="str">
        <f>VLOOKUP(flu_aw24[[#This Row],[trust_code]],trust_lookup[],3,0)</f>
        <v>St George's</v>
      </c>
      <c r="AD713" s="43">
        <v>46020</v>
      </c>
      <c r="AE713" s="2">
        <v>1</v>
      </c>
      <c r="AF713" s="2" t="s">
        <v>518</v>
      </c>
      <c r="AG713" s="2" t="s">
        <v>164</v>
      </c>
      <c r="AH713" s="2" t="s">
        <v>165</v>
      </c>
      <c r="AI713" s="2" t="s">
        <v>193</v>
      </c>
      <c r="AJ713" s="23">
        <v>5</v>
      </c>
      <c r="AK713" s="23">
        <v>1554</v>
      </c>
      <c r="AL713" s="23">
        <v>4107</v>
      </c>
      <c r="AM713" s="24">
        <v>0.37837837837837801</v>
      </c>
      <c r="AN713" s="44" t="str">
        <f>VLOOKUP(flu_aw25[[#This Row],[trust_code]],trust_lookup[],3,0)</f>
        <v>SLAM</v>
      </c>
    </row>
    <row r="714" spans="11:40" x14ac:dyDescent="0.35">
      <c r="K714" s="2" t="s">
        <v>519</v>
      </c>
      <c r="L714" s="2" t="s">
        <v>69</v>
      </c>
      <c r="M714" s="2" t="s">
        <v>70</v>
      </c>
      <c r="N714" s="2" t="s">
        <v>190</v>
      </c>
      <c r="O714" s="2" t="s">
        <v>47</v>
      </c>
      <c r="P714" s="2">
        <v>21</v>
      </c>
      <c r="R714" s="43">
        <v>45740</v>
      </c>
      <c r="S714" s="2">
        <v>13</v>
      </c>
      <c r="T714" s="2" t="s">
        <v>519</v>
      </c>
      <c r="U714" s="2" t="s">
        <v>170</v>
      </c>
      <c r="V714" s="2" t="s">
        <v>171</v>
      </c>
      <c r="W714" s="2" t="s">
        <v>194</v>
      </c>
      <c r="X714" s="23">
        <v>1</v>
      </c>
      <c r="Y714" s="23">
        <v>2789</v>
      </c>
      <c r="Z714" s="23">
        <v>6877</v>
      </c>
      <c r="AA714" s="24">
        <v>0.40555474770975702</v>
      </c>
      <c r="AB714" s="14" t="str">
        <f>VLOOKUP(flu_aw24[[#This Row],[trust_code]],trust_lookup[],3,0)</f>
        <v>St George's</v>
      </c>
      <c r="AD714" s="43">
        <v>46027</v>
      </c>
      <c r="AE714" s="2">
        <v>2</v>
      </c>
      <c r="AF714" s="2" t="s">
        <v>518</v>
      </c>
      <c r="AG714" s="2" t="s">
        <v>164</v>
      </c>
      <c r="AH714" s="2" t="s">
        <v>165</v>
      </c>
      <c r="AI714" s="2" t="s">
        <v>193</v>
      </c>
      <c r="AJ714" s="23">
        <v>10</v>
      </c>
      <c r="AK714" s="23">
        <v>1564</v>
      </c>
      <c r="AL714" s="23">
        <v>4107</v>
      </c>
      <c r="AM714" s="24">
        <v>0.38081324567810998</v>
      </c>
      <c r="AN714" s="44" t="str">
        <f>VLOOKUP(flu_aw25[[#This Row],[trust_code]],trust_lookup[],3,0)</f>
        <v>SLAM</v>
      </c>
    </row>
    <row r="715" spans="11:40" x14ac:dyDescent="0.35">
      <c r="K715" s="2" t="s">
        <v>519</v>
      </c>
      <c r="L715" s="2" t="s">
        <v>69</v>
      </c>
      <c r="M715" s="2" t="s">
        <v>70</v>
      </c>
      <c r="N715" s="2" t="s">
        <v>190</v>
      </c>
      <c r="O715" s="2" t="s">
        <v>94</v>
      </c>
      <c r="P715" s="2">
        <v>15</v>
      </c>
      <c r="R715" s="43">
        <v>45565</v>
      </c>
      <c r="S715" s="2">
        <v>40</v>
      </c>
      <c r="T715" s="2" t="s">
        <v>519</v>
      </c>
      <c r="U715" s="2" t="s">
        <v>173</v>
      </c>
      <c r="V715" s="2" t="s">
        <v>174</v>
      </c>
      <c r="W715" s="2" t="s">
        <v>27</v>
      </c>
      <c r="X715" s="23">
        <v>21</v>
      </c>
      <c r="Y715" s="23">
        <v>21</v>
      </c>
      <c r="Z715" s="23">
        <v>404</v>
      </c>
      <c r="AA715" s="24">
        <v>5.1980198019801901E-2</v>
      </c>
      <c r="AB715" s="14" t="str">
        <f>VLOOKUP(flu_aw24[[#This Row],[trust_code]],trust_lookup[],3,0)</f>
        <v>T&amp;P</v>
      </c>
      <c r="AD715" s="43">
        <v>46034</v>
      </c>
      <c r="AE715" s="2">
        <v>3</v>
      </c>
      <c r="AF715" s="2" t="s">
        <v>518</v>
      </c>
      <c r="AG715" s="2" t="s">
        <v>164</v>
      </c>
      <c r="AH715" s="2" t="s">
        <v>165</v>
      </c>
      <c r="AI715" s="2" t="s">
        <v>193</v>
      </c>
      <c r="AJ715" s="23">
        <v>14</v>
      </c>
      <c r="AK715" s="23">
        <v>1578</v>
      </c>
      <c r="AL715" s="23">
        <v>4107</v>
      </c>
      <c r="AM715" s="24">
        <v>0.384222059897735</v>
      </c>
      <c r="AN715" s="44" t="str">
        <f>VLOOKUP(flu_aw25[[#This Row],[trust_code]],trust_lookup[],3,0)</f>
        <v>SLAM</v>
      </c>
    </row>
    <row r="716" spans="11:40" x14ac:dyDescent="0.35">
      <c r="K716" s="2" t="s">
        <v>519</v>
      </c>
      <c r="L716" s="2" t="s">
        <v>69</v>
      </c>
      <c r="M716" s="2" t="s">
        <v>70</v>
      </c>
      <c r="N716" s="2" t="s">
        <v>190</v>
      </c>
      <c r="O716" s="2" t="s">
        <v>29</v>
      </c>
      <c r="P716" s="2">
        <v>16</v>
      </c>
      <c r="R716" s="43">
        <v>45572</v>
      </c>
      <c r="S716" s="2">
        <v>41</v>
      </c>
      <c r="T716" s="2" t="s">
        <v>519</v>
      </c>
      <c r="U716" s="2" t="s">
        <v>173</v>
      </c>
      <c r="V716" s="2" t="s">
        <v>174</v>
      </c>
      <c r="W716" s="2" t="s">
        <v>27</v>
      </c>
      <c r="X716" s="23">
        <v>27</v>
      </c>
      <c r="Y716" s="23">
        <v>48</v>
      </c>
      <c r="Z716" s="23">
        <v>404</v>
      </c>
      <c r="AA716" s="24">
        <v>0.118811881188118</v>
      </c>
      <c r="AB716" s="14" t="str">
        <f>VLOOKUP(flu_aw24[[#This Row],[trust_code]],trust_lookup[],3,0)</f>
        <v>T&amp;P</v>
      </c>
      <c r="AD716" s="43">
        <v>46041</v>
      </c>
      <c r="AE716" s="2">
        <v>4</v>
      </c>
      <c r="AF716" s="2" t="s">
        <v>518</v>
      </c>
      <c r="AG716" s="2" t="s">
        <v>164</v>
      </c>
      <c r="AH716" s="2" t="s">
        <v>165</v>
      </c>
      <c r="AI716" s="2" t="s">
        <v>193</v>
      </c>
      <c r="AJ716" s="23">
        <v>17</v>
      </c>
      <c r="AK716" s="23">
        <v>1595</v>
      </c>
      <c r="AL716" s="23">
        <v>4107</v>
      </c>
      <c r="AM716" s="24">
        <v>0.38836133430727998</v>
      </c>
      <c r="AN716" s="44" t="str">
        <f>VLOOKUP(flu_aw25[[#This Row],[trust_code]],trust_lookup[],3,0)</f>
        <v>SLAM</v>
      </c>
    </row>
    <row r="717" spans="11:40" x14ac:dyDescent="0.35">
      <c r="K717" s="2" t="s">
        <v>519</v>
      </c>
      <c r="L717" s="2" t="s">
        <v>69</v>
      </c>
      <c r="M717" s="2" t="s">
        <v>70</v>
      </c>
      <c r="N717" s="2" t="s">
        <v>190</v>
      </c>
      <c r="O717" s="2" t="s">
        <v>123</v>
      </c>
      <c r="P717" s="2">
        <v>95</v>
      </c>
      <c r="R717" s="43">
        <v>45579</v>
      </c>
      <c r="S717" s="2">
        <v>42</v>
      </c>
      <c r="T717" s="2" t="s">
        <v>519</v>
      </c>
      <c r="U717" s="2" t="s">
        <v>173</v>
      </c>
      <c r="V717" s="2" t="s">
        <v>174</v>
      </c>
      <c r="W717" s="2" t="s">
        <v>27</v>
      </c>
      <c r="X717" s="23">
        <v>9</v>
      </c>
      <c r="Y717" s="23">
        <v>57</v>
      </c>
      <c r="Z717" s="23">
        <v>404</v>
      </c>
      <c r="AA717" s="24">
        <v>0.14108910891089099</v>
      </c>
      <c r="AB717" s="14" t="str">
        <f>VLOOKUP(flu_aw24[[#This Row],[trust_code]],trust_lookup[],3,0)</f>
        <v>T&amp;P</v>
      </c>
      <c r="AD717" s="43">
        <v>46048</v>
      </c>
      <c r="AE717" s="2">
        <v>5</v>
      </c>
      <c r="AF717" s="2" t="s">
        <v>518</v>
      </c>
      <c r="AG717" s="2" t="s">
        <v>164</v>
      </c>
      <c r="AH717" s="2" t="s">
        <v>165</v>
      </c>
      <c r="AI717" s="2" t="s">
        <v>193</v>
      </c>
      <c r="AJ717" s="23">
        <v>1</v>
      </c>
      <c r="AK717" s="23">
        <v>1596</v>
      </c>
      <c r="AL717" s="23">
        <v>4107</v>
      </c>
      <c r="AM717" s="24">
        <v>0.38860482103725302</v>
      </c>
      <c r="AN717" s="44" t="str">
        <f>VLOOKUP(flu_aw25[[#This Row],[trust_code]],trust_lookup[],3,0)</f>
        <v>SLAM</v>
      </c>
    </row>
    <row r="718" spans="11:40" x14ac:dyDescent="0.35">
      <c r="K718" s="2" t="s">
        <v>519</v>
      </c>
      <c r="L718" s="2" t="s">
        <v>69</v>
      </c>
      <c r="M718" s="2" t="s">
        <v>70</v>
      </c>
      <c r="N718" s="2" t="s">
        <v>190</v>
      </c>
      <c r="O718" s="2" t="s">
        <v>82</v>
      </c>
      <c r="P718" s="2">
        <v>34</v>
      </c>
      <c r="R718" s="43">
        <v>45586</v>
      </c>
      <c r="S718" s="2">
        <v>43</v>
      </c>
      <c r="T718" s="2" t="s">
        <v>519</v>
      </c>
      <c r="U718" s="2" t="s">
        <v>173</v>
      </c>
      <c r="V718" s="2" t="s">
        <v>174</v>
      </c>
      <c r="W718" s="2" t="s">
        <v>27</v>
      </c>
      <c r="X718" s="23">
        <v>8</v>
      </c>
      <c r="Y718" s="23">
        <v>65</v>
      </c>
      <c r="Z718" s="23">
        <v>404</v>
      </c>
      <c r="AA718" s="24">
        <v>0.16089108910891001</v>
      </c>
      <c r="AB718" s="14" t="str">
        <f>VLOOKUP(flu_aw24[[#This Row],[trust_code]],trust_lookup[],3,0)</f>
        <v>T&amp;P</v>
      </c>
      <c r="AD718" s="43">
        <v>46055</v>
      </c>
      <c r="AE718" s="2">
        <v>6</v>
      </c>
      <c r="AF718" s="2" t="s">
        <v>518</v>
      </c>
      <c r="AG718" s="2" t="s">
        <v>164</v>
      </c>
      <c r="AH718" s="2" t="s">
        <v>165</v>
      </c>
      <c r="AI718" s="2" t="s">
        <v>193</v>
      </c>
      <c r="AJ718" s="23">
        <v>2</v>
      </c>
      <c r="AK718" s="23">
        <v>1598</v>
      </c>
      <c r="AL718" s="23">
        <v>4107</v>
      </c>
      <c r="AM718" s="24">
        <v>0.389091794497199</v>
      </c>
      <c r="AN718" s="44" t="str">
        <f>VLOOKUP(flu_aw25[[#This Row],[trust_code]],trust_lookup[],3,0)</f>
        <v>SLAM</v>
      </c>
    </row>
    <row r="719" spans="11:40" x14ac:dyDescent="0.35">
      <c r="K719" s="2" t="s">
        <v>519</v>
      </c>
      <c r="L719" s="2" t="s">
        <v>69</v>
      </c>
      <c r="M719" s="2" t="s">
        <v>70</v>
      </c>
      <c r="N719" s="2" t="s">
        <v>190</v>
      </c>
      <c r="O719" s="2" t="s">
        <v>88</v>
      </c>
      <c r="P719" s="2">
        <v>34</v>
      </c>
      <c r="R719" s="43">
        <v>45593</v>
      </c>
      <c r="S719" s="2">
        <v>44</v>
      </c>
      <c r="T719" s="2" t="s">
        <v>519</v>
      </c>
      <c r="U719" s="2" t="s">
        <v>173</v>
      </c>
      <c r="V719" s="2" t="s">
        <v>174</v>
      </c>
      <c r="W719" s="2" t="s">
        <v>27</v>
      </c>
      <c r="X719" s="23">
        <v>11</v>
      </c>
      <c r="Y719" s="23">
        <v>76</v>
      </c>
      <c r="Z719" s="23">
        <v>404</v>
      </c>
      <c r="AA719" s="24">
        <v>0.18811881188118801</v>
      </c>
      <c r="AB719" s="14" t="str">
        <f>VLOOKUP(flu_aw24[[#This Row],[trust_code]],trust_lookup[],3,0)</f>
        <v>T&amp;P</v>
      </c>
      <c r="AD719" s="43">
        <v>46062</v>
      </c>
      <c r="AE719" s="2">
        <v>7</v>
      </c>
      <c r="AF719" s="2" t="s">
        <v>518</v>
      </c>
      <c r="AG719" s="2" t="s">
        <v>164</v>
      </c>
      <c r="AH719" s="2" t="s">
        <v>165</v>
      </c>
      <c r="AI719" s="2" t="s">
        <v>193</v>
      </c>
      <c r="AJ719" s="23">
        <v>1</v>
      </c>
      <c r="AK719" s="23">
        <v>1599</v>
      </c>
      <c r="AL719" s="23">
        <v>4107</v>
      </c>
      <c r="AM719" s="24">
        <v>0.38933528122717298</v>
      </c>
      <c r="AN719" s="44" t="str">
        <f>VLOOKUP(flu_aw25[[#This Row],[trust_code]],trust_lookup[],3,0)</f>
        <v>SLAM</v>
      </c>
    </row>
    <row r="720" spans="11:40" x14ac:dyDescent="0.35">
      <c r="K720" s="2" t="s">
        <v>519</v>
      </c>
      <c r="L720" s="2" t="s">
        <v>69</v>
      </c>
      <c r="M720" s="2" t="s">
        <v>70</v>
      </c>
      <c r="N720" s="2" t="s">
        <v>190</v>
      </c>
      <c r="O720" s="2" t="s">
        <v>141</v>
      </c>
      <c r="P720" s="2">
        <v>56</v>
      </c>
      <c r="R720" s="43">
        <v>45600</v>
      </c>
      <c r="S720" s="2">
        <v>45</v>
      </c>
      <c r="T720" s="2" t="s">
        <v>519</v>
      </c>
      <c r="U720" s="2" t="s">
        <v>173</v>
      </c>
      <c r="V720" s="2" t="s">
        <v>174</v>
      </c>
      <c r="W720" s="2" t="s">
        <v>27</v>
      </c>
      <c r="X720" s="23">
        <v>6</v>
      </c>
      <c r="Y720" s="23">
        <v>82</v>
      </c>
      <c r="Z720" s="23">
        <v>404</v>
      </c>
      <c r="AA720" s="24">
        <v>0.20297029702970201</v>
      </c>
      <c r="AB720" s="14" t="str">
        <f>VLOOKUP(flu_aw24[[#This Row],[trust_code]],trust_lookup[],3,0)</f>
        <v>T&amp;P</v>
      </c>
      <c r="AD720" s="43">
        <v>46076</v>
      </c>
      <c r="AE720" s="2">
        <v>9</v>
      </c>
      <c r="AF720" s="2" t="s">
        <v>518</v>
      </c>
      <c r="AG720" s="2" t="s">
        <v>164</v>
      </c>
      <c r="AH720" s="2" t="s">
        <v>165</v>
      </c>
      <c r="AI720" s="2" t="s">
        <v>193</v>
      </c>
      <c r="AJ720" s="23">
        <v>1</v>
      </c>
      <c r="AK720" s="23">
        <v>1600</v>
      </c>
      <c r="AL720" s="23">
        <v>4107</v>
      </c>
      <c r="AM720" s="24">
        <v>0.38957876795714602</v>
      </c>
      <c r="AN720" s="44" t="str">
        <f>VLOOKUP(flu_aw25[[#This Row],[trust_code]],trust_lookup[],3,0)</f>
        <v>SLAM</v>
      </c>
    </row>
    <row r="721" spans="11:40" x14ac:dyDescent="0.35">
      <c r="K721" s="2" t="s">
        <v>519</v>
      </c>
      <c r="L721" s="2" t="s">
        <v>69</v>
      </c>
      <c r="M721" s="2" t="s">
        <v>70</v>
      </c>
      <c r="N721" s="2" t="s">
        <v>190</v>
      </c>
      <c r="O721" s="2" t="s">
        <v>61</v>
      </c>
      <c r="P721" s="2">
        <v>51</v>
      </c>
      <c r="R721" s="43">
        <v>45607</v>
      </c>
      <c r="S721" s="2">
        <v>46</v>
      </c>
      <c r="T721" s="2" t="s">
        <v>519</v>
      </c>
      <c r="U721" s="2" t="s">
        <v>173</v>
      </c>
      <c r="V721" s="2" t="s">
        <v>174</v>
      </c>
      <c r="W721" s="2" t="s">
        <v>27</v>
      </c>
      <c r="X721" s="23">
        <v>4</v>
      </c>
      <c r="Y721" s="23">
        <v>86</v>
      </c>
      <c r="Z721" s="23">
        <v>404</v>
      </c>
      <c r="AA721" s="24">
        <v>0.21287128712871201</v>
      </c>
      <c r="AB721" s="14" t="str">
        <f>VLOOKUP(flu_aw24[[#This Row],[trust_code]],trust_lookup[],3,0)</f>
        <v>T&amp;P</v>
      </c>
      <c r="AD721" s="43">
        <v>45901</v>
      </c>
      <c r="AE721" s="2">
        <v>36</v>
      </c>
      <c r="AF721" s="2" t="s">
        <v>518</v>
      </c>
      <c r="AG721" s="2" t="s">
        <v>37</v>
      </c>
      <c r="AH721" s="2" t="s">
        <v>38</v>
      </c>
      <c r="AI721" s="2" t="s">
        <v>190</v>
      </c>
      <c r="AJ721" s="23">
        <v>7</v>
      </c>
      <c r="AK721" s="23">
        <v>7</v>
      </c>
      <c r="AL721" s="23">
        <v>21363</v>
      </c>
      <c r="AM721" s="24">
        <v>3.2766933483125002E-4</v>
      </c>
      <c r="AN721" s="44" t="str">
        <f>VLOOKUP(flu_aw25[[#This Row],[trust_code]],trust_lookup[],3,0)</f>
        <v>Barts</v>
      </c>
    </row>
    <row r="722" spans="11:40" x14ac:dyDescent="0.35">
      <c r="K722" s="2" t="s">
        <v>519</v>
      </c>
      <c r="L722" s="2" t="s">
        <v>69</v>
      </c>
      <c r="M722" s="2" t="s">
        <v>70</v>
      </c>
      <c r="N722" s="2" t="s">
        <v>190</v>
      </c>
      <c r="O722" s="2" t="s">
        <v>100</v>
      </c>
      <c r="P722" s="2">
        <v>410</v>
      </c>
      <c r="R722" s="43">
        <v>45614</v>
      </c>
      <c r="S722" s="2">
        <v>47</v>
      </c>
      <c r="T722" s="2" t="s">
        <v>519</v>
      </c>
      <c r="U722" s="2" t="s">
        <v>173</v>
      </c>
      <c r="V722" s="2" t="s">
        <v>174</v>
      </c>
      <c r="W722" s="2" t="s">
        <v>27</v>
      </c>
      <c r="X722" s="23">
        <v>4</v>
      </c>
      <c r="Y722" s="23">
        <v>90</v>
      </c>
      <c r="Z722" s="23">
        <v>404</v>
      </c>
      <c r="AA722" s="24">
        <v>0.222772277227722</v>
      </c>
      <c r="AB722" s="14" t="str">
        <f>VLOOKUP(flu_aw24[[#This Row],[trust_code]],trust_lookup[],3,0)</f>
        <v>T&amp;P</v>
      </c>
      <c r="AD722" s="43">
        <v>45908</v>
      </c>
      <c r="AE722" s="2">
        <v>37</v>
      </c>
      <c r="AF722" s="2" t="s">
        <v>518</v>
      </c>
      <c r="AG722" s="2" t="s">
        <v>37</v>
      </c>
      <c r="AH722" s="2" t="s">
        <v>38</v>
      </c>
      <c r="AI722" s="2" t="s">
        <v>190</v>
      </c>
      <c r="AJ722" s="23">
        <v>7</v>
      </c>
      <c r="AK722" s="23">
        <v>14</v>
      </c>
      <c r="AL722" s="23">
        <v>21363</v>
      </c>
      <c r="AM722" s="24">
        <v>6.5533866966250003E-4</v>
      </c>
      <c r="AN722" s="44" t="str">
        <f>VLOOKUP(flu_aw25[[#This Row],[trust_code]],trust_lookup[],3,0)</f>
        <v>Barts</v>
      </c>
    </row>
    <row r="723" spans="11:40" x14ac:dyDescent="0.35">
      <c r="K723" s="2" t="s">
        <v>519</v>
      </c>
      <c r="L723" s="2" t="s">
        <v>69</v>
      </c>
      <c r="M723" s="2" t="s">
        <v>70</v>
      </c>
      <c r="N723" s="2" t="s">
        <v>190</v>
      </c>
      <c r="O723" s="2" t="s">
        <v>75</v>
      </c>
      <c r="P723" s="2">
        <v>70</v>
      </c>
      <c r="R723" s="43">
        <v>45621</v>
      </c>
      <c r="S723" s="2">
        <v>48</v>
      </c>
      <c r="T723" s="2" t="s">
        <v>519</v>
      </c>
      <c r="U723" s="2" t="s">
        <v>173</v>
      </c>
      <c r="V723" s="2" t="s">
        <v>174</v>
      </c>
      <c r="W723" s="2" t="s">
        <v>27</v>
      </c>
      <c r="X723" s="23">
        <v>3</v>
      </c>
      <c r="Y723" s="23">
        <v>93</v>
      </c>
      <c r="Z723" s="23">
        <v>404</v>
      </c>
      <c r="AA723" s="24">
        <v>0.23019801980197999</v>
      </c>
      <c r="AB723" s="14" t="str">
        <f>VLOOKUP(flu_aw24[[#This Row],[trust_code]],trust_lookup[],3,0)</f>
        <v>T&amp;P</v>
      </c>
      <c r="AD723" s="43">
        <v>45915</v>
      </c>
      <c r="AE723" s="2">
        <v>38</v>
      </c>
      <c r="AF723" s="2" t="s">
        <v>518</v>
      </c>
      <c r="AG723" s="2" t="s">
        <v>37</v>
      </c>
      <c r="AH723" s="2" t="s">
        <v>38</v>
      </c>
      <c r="AI723" s="2" t="s">
        <v>190</v>
      </c>
      <c r="AJ723" s="23">
        <v>14</v>
      </c>
      <c r="AK723" s="23">
        <v>28</v>
      </c>
      <c r="AL723" s="23">
        <v>21363</v>
      </c>
      <c r="AM723" s="24">
        <v>1.3106773393250001E-3</v>
      </c>
      <c r="AN723" s="44" t="str">
        <f>VLOOKUP(flu_aw25[[#This Row],[trust_code]],trust_lookup[],3,0)</f>
        <v>Barts</v>
      </c>
    </row>
    <row r="724" spans="11:40" x14ac:dyDescent="0.35">
      <c r="K724" s="2" t="s">
        <v>519</v>
      </c>
      <c r="L724" s="2" t="s">
        <v>69</v>
      </c>
      <c r="M724" s="2" t="s">
        <v>70</v>
      </c>
      <c r="N724" s="2" t="s">
        <v>190</v>
      </c>
      <c r="O724" s="2" t="s">
        <v>106</v>
      </c>
      <c r="P724" s="2">
        <v>13</v>
      </c>
      <c r="R724" s="43">
        <v>45628</v>
      </c>
      <c r="S724" s="2">
        <v>49</v>
      </c>
      <c r="T724" s="2" t="s">
        <v>519</v>
      </c>
      <c r="U724" s="2" t="s">
        <v>173</v>
      </c>
      <c r="V724" s="2" t="s">
        <v>174</v>
      </c>
      <c r="W724" s="2" t="s">
        <v>27</v>
      </c>
      <c r="X724" s="23">
        <v>5</v>
      </c>
      <c r="Y724" s="23">
        <v>98</v>
      </c>
      <c r="Z724" s="23">
        <v>404</v>
      </c>
      <c r="AA724" s="24">
        <v>0.24257425742574201</v>
      </c>
      <c r="AB724" s="14" t="str">
        <f>VLOOKUP(flu_aw24[[#This Row],[trust_code]],trust_lookup[],3,0)</f>
        <v>T&amp;P</v>
      </c>
      <c r="AD724" s="43">
        <v>45922</v>
      </c>
      <c r="AE724" s="2">
        <v>39</v>
      </c>
      <c r="AF724" s="2" t="s">
        <v>518</v>
      </c>
      <c r="AG724" s="2" t="s">
        <v>37</v>
      </c>
      <c r="AH724" s="2" t="s">
        <v>38</v>
      </c>
      <c r="AI724" s="2" t="s">
        <v>190</v>
      </c>
      <c r="AJ724" s="23">
        <v>17</v>
      </c>
      <c r="AK724" s="23">
        <v>45</v>
      </c>
      <c r="AL724" s="23">
        <v>21363</v>
      </c>
      <c r="AM724" s="24">
        <v>2.1064457239151802E-3</v>
      </c>
      <c r="AN724" s="44" t="str">
        <f>VLOOKUP(flu_aw25[[#This Row],[trust_code]],trust_lookup[],3,0)</f>
        <v>Barts</v>
      </c>
    </row>
    <row r="725" spans="11:40" x14ac:dyDescent="0.35">
      <c r="K725" s="2" t="s">
        <v>519</v>
      </c>
      <c r="L725" s="2" t="s">
        <v>69</v>
      </c>
      <c r="M725" s="2" t="s">
        <v>70</v>
      </c>
      <c r="N725" s="2" t="s">
        <v>190</v>
      </c>
      <c r="O725" s="2" t="s">
        <v>112</v>
      </c>
      <c r="P725" s="2">
        <v>39</v>
      </c>
      <c r="R725" s="43">
        <v>45635</v>
      </c>
      <c r="S725" s="2">
        <v>50</v>
      </c>
      <c r="T725" s="2" t="s">
        <v>519</v>
      </c>
      <c r="U725" s="2" t="s">
        <v>173</v>
      </c>
      <c r="V725" s="2" t="s">
        <v>174</v>
      </c>
      <c r="W725" s="2" t="s">
        <v>27</v>
      </c>
      <c r="X725" s="23">
        <v>7</v>
      </c>
      <c r="Y725" s="23">
        <v>105</v>
      </c>
      <c r="Z725" s="23">
        <v>404</v>
      </c>
      <c r="AA725" s="24">
        <v>0.25990099009900902</v>
      </c>
      <c r="AB725" s="14" t="str">
        <f>VLOOKUP(flu_aw24[[#This Row],[trust_code]],trust_lookup[],3,0)</f>
        <v>T&amp;P</v>
      </c>
      <c r="AD725" s="43">
        <v>45929</v>
      </c>
      <c r="AE725" s="2">
        <v>40</v>
      </c>
      <c r="AF725" s="2" t="s">
        <v>518</v>
      </c>
      <c r="AG725" s="2" t="s">
        <v>37</v>
      </c>
      <c r="AH725" s="2" t="s">
        <v>38</v>
      </c>
      <c r="AI725" s="2" t="s">
        <v>190</v>
      </c>
      <c r="AJ725" s="23">
        <v>643</v>
      </c>
      <c r="AK725" s="23">
        <v>688</v>
      </c>
      <c r="AL725" s="23">
        <v>21363</v>
      </c>
      <c r="AM725" s="24">
        <v>3.2205214623414302E-2</v>
      </c>
      <c r="AN725" s="44" t="str">
        <f>VLOOKUP(flu_aw25[[#This Row],[trust_code]],trust_lookup[],3,0)</f>
        <v>Barts</v>
      </c>
    </row>
    <row r="726" spans="11:40" x14ac:dyDescent="0.35">
      <c r="K726" s="2" t="s">
        <v>519</v>
      </c>
      <c r="L726" s="2" t="s">
        <v>69</v>
      </c>
      <c r="M726" s="2" t="s">
        <v>70</v>
      </c>
      <c r="N726" s="2" t="s">
        <v>190</v>
      </c>
      <c r="O726" s="2" t="s">
        <v>36</v>
      </c>
      <c r="P726" s="2">
        <v>72</v>
      </c>
      <c r="R726" s="43">
        <v>45642</v>
      </c>
      <c r="S726" s="2">
        <v>51</v>
      </c>
      <c r="T726" s="2" t="s">
        <v>519</v>
      </c>
      <c r="U726" s="2" t="s">
        <v>173</v>
      </c>
      <c r="V726" s="2" t="s">
        <v>174</v>
      </c>
      <c r="W726" s="2" t="s">
        <v>27</v>
      </c>
      <c r="X726" s="23">
        <v>3</v>
      </c>
      <c r="Y726" s="23">
        <v>108</v>
      </c>
      <c r="Z726" s="23">
        <v>404</v>
      </c>
      <c r="AA726" s="24">
        <v>0.26732673267326701</v>
      </c>
      <c r="AB726" s="14" t="str">
        <f>VLOOKUP(flu_aw24[[#This Row],[trust_code]],trust_lookup[],3,0)</f>
        <v>T&amp;P</v>
      </c>
      <c r="AD726" s="43">
        <v>45936</v>
      </c>
      <c r="AE726" s="2">
        <v>41</v>
      </c>
      <c r="AF726" s="2" t="s">
        <v>518</v>
      </c>
      <c r="AG726" s="2" t="s">
        <v>37</v>
      </c>
      <c r="AH726" s="2" t="s">
        <v>38</v>
      </c>
      <c r="AI726" s="2" t="s">
        <v>190</v>
      </c>
      <c r="AJ726" s="23">
        <v>1040</v>
      </c>
      <c r="AK726" s="23">
        <v>1728</v>
      </c>
      <c r="AL726" s="23">
        <v>21363</v>
      </c>
      <c r="AM726" s="24">
        <v>8.0887515798342899E-2</v>
      </c>
      <c r="AN726" s="44" t="str">
        <f>VLOOKUP(flu_aw25[[#This Row],[trust_code]],trust_lookup[],3,0)</f>
        <v>Barts</v>
      </c>
    </row>
    <row r="727" spans="11:40" x14ac:dyDescent="0.35">
      <c r="K727" s="2" t="s">
        <v>519</v>
      </c>
      <c r="L727" s="2" t="s">
        <v>95</v>
      </c>
      <c r="M727" s="2" t="s">
        <v>96</v>
      </c>
      <c r="N727" s="2" t="s">
        <v>190</v>
      </c>
      <c r="O727" s="2" t="s">
        <v>68</v>
      </c>
      <c r="P727" s="2">
        <v>422</v>
      </c>
      <c r="R727" s="43">
        <v>45670</v>
      </c>
      <c r="S727" s="2">
        <v>3</v>
      </c>
      <c r="T727" s="2" t="s">
        <v>519</v>
      </c>
      <c r="U727" s="2" t="s">
        <v>173</v>
      </c>
      <c r="V727" s="2" t="s">
        <v>174</v>
      </c>
      <c r="W727" s="2" t="s">
        <v>27</v>
      </c>
      <c r="X727" s="23">
        <v>2</v>
      </c>
      <c r="Y727" s="23">
        <v>110</v>
      </c>
      <c r="Z727" s="23">
        <v>404</v>
      </c>
      <c r="AA727" s="24">
        <v>0.27227722772277202</v>
      </c>
      <c r="AB727" s="14" t="str">
        <f>VLOOKUP(flu_aw24[[#This Row],[trust_code]],trust_lookup[],3,0)</f>
        <v>T&amp;P</v>
      </c>
      <c r="AD727" s="43">
        <v>45943</v>
      </c>
      <c r="AE727" s="2">
        <v>42</v>
      </c>
      <c r="AF727" s="2" t="s">
        <v>518</v>
      </c>
      <c r="AG727" s="2" t="s">
        <v>37</v>
      </c>
      <c r="AH727" s="2" t="s">
        <v>38</v>
      </c>
      <c r="AI727" s="2" t="s">
        <v>190</v>
      </c>
      <c r="AJ727" s="23">
        <v>845</v>
      </c>
      <c r="AK727" s="23">
        <v>2573</v>
      </c>
      <c r="AL727" s="23">
        <v>21363</v>
      </c>
      <c r="AM727" s="24">
        <v>0.120441885502972</v>
      </c>
      <c r="AN727" s="44" t="str">
        <f>VLOOKUP(flu_aw25[[#This Row],[trust_code]],trust_lookup[],3,0)</f>
        <v>Barts</v>
      </c>
    </row>
    <row r="728" spans="11:40" x14ac:dyDescent="0.35">
      <c r="K728" s="2" t="s">
        <v>519</v>
      </c>
      <c r="L728" s="2" t="s">
        <v>95</v>
      </c>
      <c r="M728" s="2" t="s">
        <v>96</v>
      </c>
      <c r="N728" s="2" t="s">
        <v>190</v>
      </c>
      <c r="O728" s="2" t="s">
        <v>135</v>
      </c>
      <c r="P728" s="2">
        <v>26</v>
      </c>
      <c r="R728" s="43">
        <v>45698</v>
      </c>
      <c r="S728" s="2">
        <v>7</v>
      </c>
      <c r="T728" s="2" t="s">
        <v>519</v>
      </c>
      <c r="U728" s="2" t="s">
        <v>173</v>
      </c>
      <c r="V728" s="2" t="s">
        <v>174</v>
      </c>
      <c r="W728" s="2" t="s">
        <v>27</v>
      </c>
      <c r="X728" s="23">
        <v>1</v>
      </c>
      <c r="Y728" s="23">
        <v>111</v>
      </c>
      <c r="Z728" s="23">
        <v>404</v>
      </c>
      <c r="AA728" s="24">
        <v>0.274752475247524</v>
      </c>
      <c r="AB728" s="14" t="str">
        <f>VLOOKUP(flu_aw24[[#This Row],[trust_code]],trust_lookup[],3,0)</f>
        <v>T&amp;P</v>
      </c>
      <c r="AD728" s="43">
        <v>45950</v>
      </c>
      <c r="AE728" s="2">
        <v>43</v>
      </c>
      <c r="AF728" s="2" t="s">
        <v>518</v>
      </c>
      <c r="AG728" s="2" t="s">
        <v>37</v>
      </c>
      <c r="AH728" s="2" t="s">
        <v>38</v>
      </c>
      <c r="AI728" s="2" t="s">
        <v>190</v>
      </c>
      <c r="AJ728" s="23">
        <v>761</v>
      </c>
      <c r="AK728" s="23">
        <v>3334</v>
      </c>
      <c r="AL728" s="23">
        <v>21363</v>
      </c>
      <c r="AM728" s="24">
        <v>0.15606422318962601</v>
      </c>
      <c r="AN728" s="44" t="str">
        <f>VLOOKUP(flu_aw25[[#This Row],[trust_code]],trust_lookup[],3,0)</f>
        <v>Barts</v>
      </c>
    </row>
    <row r="729" spans="11:40" x14ac:dyDescent="0.35">
      <c r="K729" s="2" t="s">
        <v>519</v>
      </c>
      <c r="L729" s="2" t="s">
        <v>95</v>
      </c>
      <c r="M729" s="2" t="s">
        <v>96</v>
      </c>
      <c r="N729" s="2" t="s">
        <v>190</v>
      </c>
      <c r="O729" s="2" t="s">
        <v>54</v>
      </c>
      <c r="P729" s="2">
        <v>148</v>
      </c>
      <c r="R729" s="43">
        <v>45705</v>
      </c>
      <c r="S729" s="2">
        <v>8</v>
      </c>
      <c r="T729" s="2" t="s">
        <v>519</v>
      </c>
      <c r="U729" s="2" t="s">
        <v>173</v>
      </c>
      <c r="V729" s="2" t="s">
        <v>174</v>
      </c>
      <c r="W729" s="2" t="s">
        <v>27</v>
      </c>
      <c r="X729" s="23">
        <v>1</v>
      </c>
      <c r="Y729" s="23">
        <v>112</v>
      </c>
      <c r="Z729" s="23">
        <v>404</v>
      </c>
      <c r="AA729" s="24">
        <v>0.27722772277227697</v>
      </c>
      <c r="AB729" s="14" t="str">
        <f>VLOOKUP(flu_aw24[[#This Row],[trust_code]],trust_lookup[],3,0)</f>
        <v>T&amp;P</v>
      </c>
      <c r="AD729" s="43">
        <v>45957</v>
      </c>
      <c r="AE729" s="2">
        <v>44</v>
      </c>
      <c r="AF729" s="2" t="s">
        <v>518</v>
      </c>
      <c r="AG729" s="2" t="s">
        <v>37</v>
      </c>
      <c r="AH729" s="2" t="s">
        <v>38</v>
      </c>
      <c r="AI729" s="2" t="s">
        <v>190</v>
      </c>
      <c r="AJ729" s="23">
        <v>651</v>
      </c>
      <c r="AK729" s="23">
        <v>3985</v>
      </c>
      <c r="AL729" s="23">
        <v>21363</v>
      </c>
      <c r="AM729" s="24">
        <v>0.186537471328933</v>
      </c>
      <c r="AN729" s="44" t="str">
        <f>VLOOKUP(flu_aw25[[#This Row],[trust_code]],trust_lookup[],3,0)</f>
        <v>Barts</v>
      </c>
    </row>
    <row r="730" spans="11:40" x14ac:dyDescent="0.35">
      <c r="K730" s="2" t="s">
        <v>519</v>
      </c>
      <c r="L730" s="2" t="s">
        <v>95</v>
      </c>
      <c r="M730" s="2" t="s">
        <v>96</v>
      </c>
      <c r="N730" s="2" t="s">
        <v>190</v>
      </c>
      <c r="O730" s="2" t="s">
        <v>129</v>
      </c>
      <c r="P730" s="2">
        <v>7</v>
      </c>
      <c r="R730" s="43">
        <v>45537</v>
      </c>
      <c r="S730" s="2">
        <v>36</v>
      </c>
      <c r="T730" s="2" t="s">
        <v>519</v>
      </c>
      <c r="U730" s="2" t="s">
        <v>176</v>
      </c>
      <c r="V730" s="2" t="s">
        <v>177</v>
      </c>
      <c r="W730" s="2" t="s">
        <v>192</v>
      </c>
      <c r="X730" s="23">
        <v>1</v>
      </c>
      <c r="Y730" s="23">
        <v>1</v>
      </c>
      <c r="Z730" s="23">
        <v>3046</v>
      </c>
      <c r="AA730" s="24">
        <v>3.2829940906106301E-4</v>
      </c>
      <c r="AB730" s="14" t="str">
        <f>VLOOKUP(flu_aw24[[#This Row],[trust_code]],trust_lookup[],3,0)</f>
        <v>Hillingdon</v>
      </c>
      <c r="AD730" s="43">
        <v>45964</v>
      </c>
      <c r="AE730" s="2">
        <v>45</v>
      </c>
      <c r="AF730" s="2" t="s">
        <v>518</v>
      </c>
      <c r="AG730" s="2" t="s">
        <v>37</v>
      </c>
      <c r="AH730" s="2" t="s">
        <v>38</v>
      </c>
      <c r="AI730" s="2" t="s">
        <v>190</v>
      </c>
      <c r="AJ730" s="23">
        <v>592</v>
      </c>
      <c r="AK730" s="23">
        <v>4577</v>
      </c>
      <c r="AL730" s="23">
        <v>21363</v>
      </c>
      <c r="AM730" s="24">
        <v>0.214248935074661</v>
      </c>
      <c r="AN730" s="44" t="str">
        <f>VLOOKUP(flu_aw25[[#This Row],[trust_code]],trust_lookup[],3,0)</f>
        <v>Barts</v>
      </c>
    </row>
    <row r="731" spans="11:40" x14ac:dyDescent="0.35">
      <c r="K731" s="2" t="s">
        <v>519</v>
      </c>
      <c r="L731" s="2" t="s">
        <v>95</v>
      </c>
      <c r="M731" s="2" t="s">
        <v>96</v>
      </c>
      <c r="N731" s="2" t="s">
        <v>190</v>
      </c>
      <c r="O731" s="2" t="s">
        <v>47</v>
      </c>
      <c r="P731" s="2">
        <v>9</v>
      </c>
      <c r="R731" s="43">
        <v>45551</v>
      </c>
      <c r="S731" s="2">
        <v>38</v>
      </c>
      <c r="T731" s="2" t="s">
        <v>519</v>
      </c>
      <c r="U731" s="2" t="s">
        <v>176</v>
      </c>
      <c r="V731" s="2" t="s">
        <v>177</v>
      </c>
      <c r="W731" s="2" t="s">
        <v>192</v>
      </c>
      <c r="X731" s="23">
        <v>6</v>
      </c>
      <c r="Y731" s="23">
        <v>7</v>
      </c>
      <c r="Z731" s="23">
        <v>3046</v>
      </c>
      <c r="AA731" s="24">
        <v>2.2980958634274398E-3</v>
      </c>
      <c r="AB731" s="14" t="str">
        <f>VLOOKUP(flu_aw24[[#This Row],[trust_code]],trust_lookup[],3,0)</f>
        <v>Hillingdon</v>
      </c>
      <c r="AD731" s="43">
        <v>45971</v>
      </c>
      <c r="AE731" s="2">
        <v>46</v>
      </c>
      <c r="AF731" s="2" t="s">
        <v>518</v>
      </c>
      <c r="AG731" s="2" t="s">
        <v>37</v>
      </c>
      <c r="AH731" s="2" t="s">
        <v>38</v>
      </c>
      <c r="AI731" s="2" t="s">
        <v>190</v>
      </c>
      <c r="AJ731" s="23">
        <v>646</v>
      </c>
      <c r="AK731" s="23">
        <v>5223</v>
      </c>
      <c r="AL731" s="23">
        <v>21363</v>
      </c>
      <c r="AM731" s="24">
        <v>0.24448813368908801</v>
      </c>
      <c r="AN731" s="44" t="str">
        <f>VLOOKUP(flu_aw25[[#This Row],[trust_code]],trust_lookup[],3,0)</f>
        <v>Barts</v>
      </c>
    </row>
    <row r="732" spans="11:40" x14ac:dyDescent="0.35">
      <c r="K732" s="2" t="s">
        <v>519</v>
      </c>
      <c r="L732" s="2" t="s">
        <v>95</v>
      </c>
      <c r="M732" s="2" t="s">
        <v>96</v>
      </c>
      <c r="N732" s="2" t="s">
        <v>190</v>
      </c>
      <c r="O732" s="2" t="s">
        <v>94</v>
      </c>
      <c r="P732" s="2">
        <v>18</v>
      </c>
      <c r="R732" s="43">
        <v>45558</v>
      </c>
      <c r="S732" s="2">
        <v>39</v>
      </c>
      <c r="T732" s="2" t="s">
        <v>519</v>
      </c>
      <c r="U732" s="2" t="s">
        <v>176</v>
      </c>
      <c r="V732" s="2" t="s">
        <v>177</v>
      </c>
      <c r="W732" s="2" t="s">
        <v>192</v>
      </c>
      <c r="X732" s="23">
        <v>6</v>
      </c>
      <c r="Y732" s="23">
        <v>13</v>
      </c>
      <c r="Z732" s="23">
        <v>3046</v>
      </c>
      <c r="AA732" s="24">
        <v>4.2678923177938196E-3</v>
      </c>
      <c r="AB732" s="14" t="str">
        <f>VLOOKUP(flu_aw24[[#This Row],[trust_code]],trust_lookup[],3,0)</f>
        <v>Hillingdon</v>
      </c>
      <c r="AD732" s="43">
        <v>45978</v>
      </c>
      <c r="AE732" s="2">
        <v>47</v>
      </c>
      <c r="AF732" s="2" t="s">
        <v>518</v>
      </c>
      <c r="AG732" s="2" t="s">
        <v>37</v>
      </c>
      <c r="AH732" s="2" t="s">
        <v>38</v>
      </c>
      <c r="AI732" s="2" t="s">
        <v>190</v>
      </c>
      <c r="AJ732" s="23">
        <v>479</v>
      </c>
      <c r="AK732" s="23">
        <v>5702</v>
      </c>
      <c r="AL732" s="23">
        <v>21363</v>
      </c>
      <c r="AM732" s="24">
        <v>0.26691007817254098</v>
      </c>
      <c r="AN732" s="44" t="str">
        <f>VLOOKUP(flu_aw25[[#This Row],[trust_code]],trust_lookup[],3,0)</f>
        <v>Barts</v>
      </c>
    </row>
    <row r="733" spans="11:40" x14ac:dyDescent="0.35">
      <c r="K733" s="2" t="s">
        <v>519</v>
      </c>
      <c r="L733" s="2" t="s">
        <v>95</v>
      </c>
      <c r="M733" s="2" t="s">
        <v>96</v>
      </c>
      <c r="N733" s="2" t="s">
        <v>190</v>
      </c>
      <c r="O733" s="2" t="s">
        <v>29</v>
      </c>
      <c r="P733" s="2">
        <v>19</v>
      </c>
      <c r="R733" s="43">
        <v>45565</v>
      </c>
      <c r="S733" s="2">
        <v>40</v>
      </c>
      <c r="T733" s="2" t="s">
        <v>519</v>
      </c>
      <c r="U733" s="2" t="s">
        <v>176</v>
      </c>
      <c r="V733" s="2" t="s">
        <v>177</v>
      </c>
      <c r="W733" s="2" t="s">
        <v>192</v>
      </c>
      <c r="X733" s="23">
        <v>102</v>
      </c>
      <c r="Y733" s="23">
        <v>115</v>
      </c>
      <c r="Z733" s="23">
        <v>3046</v>
      </c>
      <c r="AA733" s="24">
        <v>3.77544320420223E-2</v>
      </c>
      <c r="AB733" s="14" t="str">
        <f>VLOOKUP(flu_aw24[[#This Row],[trust_code]],trust_lookup[],3,0)</f>
        <v>Hillingdon</v>
      </c>
      <c r="AD733" s="43">
        <v>45985</v>
      </c>
      <c r="AE733" s="2">
        <v>48</v>
      </c>
      <c r="AF733" s="2" t="s">
        <v>518</v>
      </c>
      <c r="AG733" s="2" t="s">
        <v>37</v>
      </c>
      <c r="AH733" s="2" t="s">
        <v>38</v>
      </c>
      <c r="AI733" s="2" t="s">
        <v>190</v>
      </c>
      <c r="AJ733" s="23">
        <v>470</v>
      </c>
      <c r="AK733" s="23">
        <v>6172</v>
      </c>
      <c r="AL733" s="23">
        <v>21363</v>
      </c>
      <c r="AM733" s="24">
        <v>0.28891073351121099</v>
      </c>
      <c r="AN733" s="44" t="str">
        <f>VLOOKUP(flu_aw25[[#This Row],[trust_code]],trust_lookup[],3,0)</f>
        <v>Barts</v>
      </c>
    </row>
    <row r="734" spans="11:40" x14ac:dyDescent="0.35">
      <c r="K734" s="2" t="s">
        <v>519</v>
      </c>
      <c r="L734" s="2" t="s">
        <v>95</v>
      </c>
      <c r="M734" s="2" t="s">
        <v>96</v>
      </c>
      <c r="N734" s="2" t="s">
        <v>190</v>
      </c>
      <c r="O734" s="2" t="s">
        <v>123</v>
      </c>
      <c r="P734" s="2">
        <v>73</v>
      </c>
      <c r="R734" s="43">
        <v>45572</v>
      </c>
      <c r="S734" s="2">
        <v>41</v>
      </c>
      <c r="T734" s="2" t="s">
        <v>519</v>
      </c>
      <c r="U734" s="2" t="s">
        <v>176</v>
      </c>
      <c r="V734" s="2" t="s">
        <v>177</v>
      </c>
      <c r="W734" s="2" t="s">
        <v>192</v>
      </c>
      <c r="X734" s="23">
        <v>163</v>
      </c>
      <c r="Y734" s="23">
        <v>278</v>
      </c>
      <c r="Z734" s="23">
        <v>3046</v>
      </c>
      <c r="AA734" s="24">
        <v>9.1267235718975701E-2</v>
      </c>
      <c r="AB734" s="14" t="str">
        <f>VLOOKUP(flu_aw24[[#This Row],[trust_code]],trust_lookup[],3,0)</f>
        <v>Hillingdon</v>
      </c>
      <c r="AD734" s="43">
        <v>45992</v>
      </c>
      <c r="AE734" s="2">
        <v>49</v>
      </c>
      <c r="AF734" s="2" t="s">
        <v>518</v>
      </c>
      <c r="AG734" s="2" t="s">
        <v>37</v>
      </c>
      <c r="AH734" s="2" t="s">
        <v>38</v>
      </c>
      <c r="AI734" s="2" t="s">
        <v>190</v>
      </c>
      <c r="AJ734" s="23">
        <v>254</v>
      </c>
      <c r="AK734" s="23">
        <v>6426</v>
      </c>
      <c r="AL734" s="23">
        <v>21363</v>
      </c>
      <c r="AM734" s="24">
        <v>0.30080044937508699</v>
      </c>
      <c r="AN734" s="44" t="str">
        <f>VLOOKUP(flu_aw25[[#This Row],[trust_code]],trust_lookup[],3,0)</f>
        <v>Barts</v>
      </c>
    </row>
    <row r="735" spans="11:40" x14ac:dyDescent="0.35">
      <c r="K735" s="2" t="s">
        <v>519</v>
      </c>
      <c r="L735" s="2" t="s">
        <v>95</v>
      </c>
      <c r="M735" s="2" t="s">
        <v>96</v>
      </c>
      <c r="N735" s="2" t="s">
        <v>190</v>
      </c>
      <c r="O735" s="2" t="s">
        <v>82</v>
      </c>
      <c r="P735" s="2">
        <v>14</v>
      </c>
      <c r="R735" s="43">
        <v>45579</v>
      </c>
      <c r="S735" s="2">
        <v>42</v>
      </c>
      <c r="T735" s="2" t="s">
        <v>519</v>
      </c>
      <c r="U735" s="2" t="s">
        <v>176</v>
      </c>
      <c r="V735" s="2" t="s">
        <v>177</v>
      </c>
      <c r="W735" s="2" t="s">
        <v>192</v>
      </c>
      <c r="X735" s="23">
        <v>108</v>
      </c>
      <c r="Y735" s="23">
        <v>386</v>
      </c>
      <c r="Z735" s="23">
        <v>3046</v>
      </c>
      <c r="AA735" s="24">
        <v>0.12672357189757</v>
      </c>
      <c r="AB735" s="14" t="str">
        <f>VLOOKUP(flu_aw24[[#This Row],[trust_code]],trust_lookup[],3,0)</f>
        <v>Hillingdon</v>
      </c>
      <c r="AD735" s="43">
        <v>45999</v>
      </c>
      <c r="AE735" s="2">
        <v>50</v>
      </c>
      <c r="AF735" s="2" t="s">
        <v>518</v>
      </c>
      <c r="AG735" s="2" t="s">
        <v>37</v>
      </c>
      <c r="AH735" s="2" t="s">
        <v>38</v>
      </c>
      <c r="AI735" s="2" t="s">
        <v>190</v>
      </c>
      <c r="AJ735" s="23">
        <v>349</v>
      </c>
      <c r="AK735" s="23">
        <v>6775</v>
      </c>
      <c r="AL735" s="23">
        <v>21363</v>
      </c>
      <c r="AM735" s="24">
        <v>0.31713710621167401</v>
      </c>
      <c r="AN735" s="44" t="str">
        <f>VLOOKUP(flu_aw25[[#This Row],[trust_code]],trust_lookup[],3,0)</f>
        <v>Barts</v>
      </c>
    </row>
    <row r="736" spans="11:40" x14ac:dyDescent="0.35">
      <c r="K736" s="2" t="s">
        <v>519</v>
      </c>
      <c r="L736" s="2" t="s">
        <v>95</v>
      </c>
      <c r="M736" s="2" t="s">
        <v>96</v>
      </c>
      <c r="N736" s="2" t="s">
        <v>190</v>
      </c>
      <c r="O736" s="2" t="s">
        <v>88</v>
      </c>
      <c r="P736" s="2">
        <v>23</v>
      </c>
      <c r="R736" s="43">
        <v>45586</v>
      </c>
      <c r="S736" s="2">
        <v>43</v>
      </c>
      <c r="T736" s="2" t="s">
        <v>519</v>
      </c>
      <c r="U736" s="2" t="s">
        <v>176</v>
      </c>
      <c r="V736" s="2" t="s">
        <v>177</v>
      </c>
      <c r="W736" s="2" t="s">
        <v>192</v>
      </c>
      <c r="X736" s="23">
        <v>71</v>
      </c>
      <c r="Y736" s="23">
        <v>457</v>
      </c>
      <c r="Z736" s="23">
        <v>3046</v>
      </c>
      <c r="AA736" s="24">
        <v>0.150032829940906</v>
      </c>
      <c r="AB736" s="14" t="str">
        <f>VLOOKUP(flu_aw24[[#This Row],[trust_code]],trust_lookup[],3,0)</f>
        <v>Hillingdon</v>
      </c>
      <c r="AD736" s="43">
        <v>46006</v>
      </c>
      <c r="AE736" s="2">
        <v>51</v>
      </c>
      <c r="AF736" s="2" t="s">
        <v>518</v>
      </c>
      <c r="AG736" s="2" t="s">
        <v>37</v>
      </c>
      <c r="AH736" s="2" t="s">
        <v>38</v>
      </c>
      <c r="AI736" s="2" t="s">
        <v>190</v>
      </c>
      <c r="AJ736" s="23">
        <v>275</v>
      </c>
      <c r="AK736" s="23">
        <v>7050</v>
      </c>
      <c r="AL736" s="23">
        <v>21363</v>
      </c>
      <c r="AM736" s="24">
        <v>0.33000983008004398</v>
      </c>
      <c r="AN736" s="44" t="str">
        <f>VLOOKUP(flu_aw25[[#This Row],[trust_code]],trust_lookup[],3,0)</f>
        <v>Barts</v>
      </c>
    </row>
    <row r="737" spans="11:40" x14ac:dyDescent="0.35">
      <c r="K737" s="2" t="s">
        <v>519</v>
      </c>
      <c r="L737" s="2" t="s">
        <v>95</v>
      </c>
      <c r="M737" s="2" t="s">
        <v>96</v>
      </c>
      <c r="N737" s="2" t="s">
        <v>190</v>
      </c>
      <c r="O737" s="2" t="s">
        <v>141</v>
      </c>
      <c r="P737" s="2">
        <v>69</v>
      </c>
      <c r="R737" s="43">
        <v>45593</v>
      </c>
      <c r="S737" s="2">
        <v>44</v>
      </c>
      <c r="T737" s="2" t="s">
        <v>519</v>
      </c>
      <c r="U737" s="2" t="s">
        <v>176</v>
      </c>
      <c r="V737" s="2" t="s">
        <v>177</v>
      </c>
      <c r="W737" s="2" t="s">
        <v>192</v>
      </c>
      <c r="X737" s="23">
        <v>60</v>
      </c>
      <c r="Y737" s="23">
        <v>517</v>
      </c>
      <c r="Z737" s="23">
        <v>3046</v>
      </c>
      <c r="AA737" s="24">
        <v>0.16973079448456899</v>
      </c>
      <c r="AB737" s="14" t="str">
        <f>VLOOKUP(flu_aw24[[#This Row],[trust_code]],trust_lookup[],3,0)</f>
        <v>Hillingdon</v>
      </c>
      <c r="AD737" s="43">
        <v>46013</v>
      </c>
      <c r="AE737" s="2">
        <v>52</v>
      </c>
      <c r="AF737" s="2" t="s">
        <v>518</v>
      </c>
      <c r="AG737" s="2" t="s">
        <v>37</v>
      </c>
      <c r="AH737" s="2" t="s">
        <v>38</v>
      </c>
      <c r="AI737" s="2" t="s">
        <v>190</v>
      </c>
      <c r="AJ737" s="23">
        <v>75</v>
      </c>
      <c r="AK737" s="23">
        <v>7125</v>
      </c>
      <c r="AL737" s="23">
        <v>21363</v>
      </c>
      <c r="AM737" s="24">
        <v>0.33352057295323601</v>
      </c>
      <c r="AN737" s="44" t="str">
        <f>VLOOKUP(flu_aw25[[#This Row],[trust_code]],trust_lookup[],3,0)</f>
        <v>Barts</v>
      </c>
    </row>
    <row r="738" spans="11:40" x14ac:dyDescent="0.35">
      <c r="K738" s="2" t="s">
        <v>519</v>
      </c>
      <c r="L738" s="2" t="s">
        <v>95</v>
      </c>
      <c r="M738" s="2" t="s">
        <v>96</v>
      </c>
      <c r="N738" s="2" t="s">
        <v>190</v>
      </c>
      <c r="O738" s="2" t="s">
        <v>61</v>
      </c>
      <c r="P738" s="2">
        <v>24</v>
      </c>
      <c r="R738" s="43">
        <v>45600</v>
      </c>
      <c r="S738" s="2">
        <v>45</v>
      </c>
      <c r="T738" s="2" t="s">
        <v>519</v>
      </c>
      <c r="U738" s="2" t="s">
        <v>176</v>
      </c>
      <c r="V738" s="2" t="s">
        <v>177</v>
      </c>
      <c r="W738" s="2" t="s">
        <v>192</v>
      </c>
      <c r="X738" s="23">
        <v>60</v>
      </c>
      <c r="Y738" s="23">
        <v>577</v>
      </c>
      <c r="Z738" s="23">
        <v>3046</v>
      </c>
      <c r="AA738" s="24">
        <v>0.189428759028233</v>
      </c>
      <c r="AB738" s="14" t="str">
        <f>VLOOKUP(flu_aw24[[#This Row],[trust_code]],trust_lookup[],3,0)</f>
        <v>Hillingdon</v>
      </c>
      <c r="AD738" s="43">
        <v>46020</v>
      </c>
      <c r="AE738" s="2">
        <v>1</v>
      </c>
      <c r="AF738" s="2" t="s">
        <v>518</v>
      </c>
      <c r="AG738" s="2" t="s">
        <v>37</v>
      </c>
      <c r="AH738" s="2" t="s">
        <v>38</v>
      </c>
      <c r="AI738" s="2" t="s">
        <v>190</v>
      </c>
      <c r="AJ738" s="23">
        <v>30</v>
      </c>
      <c r="AK738" s="23">
        <v>7155</v>
      </c>
      <c r="AL738" s="23">
        <v>21363</v>
      </c>
      <c r="AM738" s="24">
        <v>0.33492487010251298</v>
      </c>
      <c r="AN738" s="44" t="str">
        <f>VLOOKUP(flu_aw25[[#This Row],[trust_code]],trust_lookup[],3,0)</f>
        <v>Barts</v>
      </c>
    </row>
    <row r="739" spans="11:40" x14ac:dyDescent="0.35">
      <c r="K739" s="2" t="s">
        <v>519</v>
      </c>
      <c r="L739" s="2" t="s">
        <v>95</v>
      </c>
      <c r="M739" s="2" t="s">
        <v>96</v>
      </c>
      <c r="N739" s="2" t="s">
        <v>190</v>
      </c>
      <c r="O739" s="2" t="s">
        <v>100</v>
      </c>
      <c r="P739" s="2">
        <v>162</v>
      </c>
      <c r="R739" s="43">
        <v>45607</v>
      </c>
      <c r="S739" s="2">
        <v>46</v>
      </c>
      <c r="T739" s="2" t="s">
        <v>519</v>
      </c>
      <c r="U739" s="2" t="s">
        <v>176</v>
      </c>
      <c r="V739" s="2" t="s">
        <v>177</v>
      </c>
      <c r="W739" s="2" t="s">
        <v>192</v>
      </c>
      <c r="X739" s="23">
        <v>38</v>
      </c>
      <c r="Y739" s="23">
        <v>615</v>
      </c>
      <c r="Z739" s="23">
        <v>3046</v>
      </c>
      <c r="AA739" s="24">
        <v>0.20190413657255399</v>
      </c>
      <c r="AB739" s="14" t="str">
        <f>VLOOKUP(flu_aw24[[#This Row],[trust_code]],trust_lookup[],3,0)</f>
        <v>Hillingdon</v>
      </c>
      <c r="AD739" s="43">
        <v>46027</v>
      </c>
      <c r="AE739" s="2">
        <v>2</v>
      </c>
      <c r="AF739" s="2" t="s">
        <v>518</v>
      </c>
      <c r="AG739" s="2" t="s">
        <v>37</v>
      </c>
      <c r="AH739" s="2" t="s">
        <v>38</v>
      </c>
      <c r="AI739" s="2" t="s">
        <v>190</v>
      </c>
      <c r="AJ739" s="23">
        <v>67</v>
      </c>
      <c r="AK739" s="23">
        <v>7222</v>
      </c>
      <c r="AL739" s="23">
        <v>21363</v>
      </c>
      <c r="AM739" s="24">
        <v>0.33806113373589802</v>
      </c>
      <c r="AN739" s="44" t="str">
        <f>VLOOKUP(flu_aw25[[#This Row],[trust_code]],trust_lookup[],3,0)</f>
        <v>Barts</v>
      </c>
    </row>
    <row r="740" spans="11:40" x14ac:dyDescent="0.35">
      <c r="K740" s="2" t="s">
        <v>519</v>
      </c>
      <c r="L740" s="2" t="s">
        <v>95</v>
      </c>
      <c r="M740" s="2" t="s">
        <v>96</v>
      </c>
      <c r="N740" s="2" t="s">
        <v>190</v>
      </c>
      <c r="O740" s="2" t="s">
        <v>75</v>
      </c>
      <c r="P740" s="2">
        <v>48</v>
      </c>
      <c r="R740" s="43">
        <v>45614</v>
      </c>
      <c r="S740" s="2">
        <v>47</v>
      </c>
      <c r="T740" s="2" t="s">
        <v>519</v>
      </c>
      <c r="U740" s="2" t="s">
        <v>176</v>
      </c>
      <c r="V740" s="2" t="s">
        <v>177</v>
      </c>
      <c r="W740" s="2" t="s">
        <v>192</v>
      </c>
      <c r="X740" s="23">
        <v>38</v>
      </c>
      <c r="Y740" s="23">
        <v>653</v>
      </c>
      <c r="Z740" s="23">
        <v>3046</v>
      </c>
      <c r="AA740" s="24">
        <v>0.214379514116874</v>
      </c>
      <c r="AB740" s="14" t="str">
        <f>VLOOKUP(flu_aw24[[#This Row],[trust_code]],trust_lookup[],3,0)</f>
        <v>Hillingdon</v>
      </c>
      <c r="AD740" s="43">
        <v>46034</v>
      </c>
      <c r="AE740" s="2">
        <v>3</v>
      </c>
      <c r="AF740" s="2" t="s">
        <v>518</v>
      </c>
      <c r="AG740" s="2" t="s">
        <v>37</v>
      </c>
      <c r="AH740" s="2" t="s">
        <v>38</v>
      </c>
      <c r="AI740" s="2" t="s">
        <v>190</v>
      </c>
      <c r="AJ740" s="23">
        <v>39</v>
      </c>
      <c r="AK740" s="23">
        <v>7261</v>
      </c>
      <c r="AL740" s="23">
        <v>21363</v>
      </c>
      <c r="AM740" s="24">
        <v>0.33988672002995801</v>
      </c>
      <c r="AN740" s="44" t="str">
        <f>VLOOKUP(flu_aw25[[#This Row],[trust_code]],trust_lookup[],3,0)</f>
        <v>Barts</v>
      </c>
    </row>
    <row r="741" spans="11:40" x14ac:dyDescent="0.35">
      <c r="K741" s="2" t="s">
        <v>519</v>
      </c>
      <c r="L741" s="2" t="s">
        <v>95</v>
      </c>
      <c r="M741" s="2" t="s">
        <v>96</v>
      </c>
      <c r="N741" s="2" t="s">
        <v>190</v>
      </c>
      <c r="O741" s="2" t="s">
        <v>106</v>
      </c>
      <c r="P741" s="2">
        <v>24</v>
      </c>
      <c r="R741" s="43">
        <v>45621</v>
      </c>
      <c r="S741" s="2">
        <v>48</v>
      </c>
      <c r="T741" s="2" t="s">
        <v>519</v>
      </c>
      <c r="U741" s="2" t="s">
        <v>176</v>
      </c>
      <c r="V741" s="2" t="s">
        <v>177</v>
      </c>
      <c r="W741" s="2" t="s">
        <v>192</v>
      </c>
      <c r="X741" s="23">
        <v>27</v>
      </c>
      <c r="Y741" s="23">
        <v>680</v>
      </c>
      <c r="Z741" s="23">
        <v>3046</v>
      </c>
      <c r="AA741" s="24">
        <v>0.223243598161523</v>
      </c>
      <c r="AB741" s="14" t="str">
        <f>VLOOKUP(flu_aw24[[#This Row],[trust_code]],trust_lookup[],3,0)</f>
        <v>Hillingdon</v>
      </c>
      <c r="AD741" s="43">
        <v>46041</v>
      </c>
      <c r="AE741" s="2">
        <v>4</v>
      </c>
      <c r="AF741" s="2" t="s">
        <v>518</v>
      </c>
      <c r="AG741" s="2" t="s">
        <v>37</v>
      </c>
      <c r="AH741" s="2" t="s">
        <v>38</v>
      </c>
      <c r="AI741" s="2" t="s">
        <v>190</v>
      </c>
      <c r="AJ741" s="23">
        <v>37</v>
      </c>
      <c r="AK741" s="23">
        <v>7298</v>
      </c>
      <c r="AL741" s="23">
        <v>21363</v>
      </c>
      <c r="AM741" s="24">
        <v>0.34161868651406602</v>
      </c>
      <c r="AN741" s="44" t="str">
        <f>VLOOKUP(flu_aw25[[#This Row],[trust_code]],trust_lookup[],3,0)</f>
        <v>Barts</v>
      </c>
    </row>
    <row r="742" spans="11:40" x14ac:dyDescent="0.35">
      <c r="K742" s="2" t="s">
        <v>519</v>
      </c>
      <c r="L742" s="2" t="s">
        <v>95</v>
      </c>
      <c r="M742" s="2" t="s">
        <v>96</v>
      </c>
      <c r="N742" s="2" t="s">
        <v>190</v>
      </c>
      <c r="O742" s="2" t="s">
        <v>112</v>
      </c>
      <c r="P742" s="2">
        <v>64</v>
      </c>
      <c r="R742" s="43">
        <v>45628</v>
      </c>
      <c r="S742" s="2">
        <v>49</v>
      </c>
      <c r="T742" s="2" t="s">
        <v>519</v>
      </c>
      <c r="U742" s="2" t="s">
        <v>176</v>
      </c>
      <c r="V742" s="2" t="s">
        <v>177</v>
      </c>
      <c r="W742" s="2" t="s">
        <v>192</v>
      </c>
      <c r="X742" s="23">
        <v>43</v>
      </c>
      <c r="Y742" s="23">
        <v>723</v>
      </c>
      <c r="Z742" s="23">
        <v>3046</v>
      </c>
      <c r="AA742" s="24">
        <v>0.23736047275114899</v>
      </c>
      <c r="AB742" s="14" t="str">
        <f>VLOOKUP(flu_aw24[[#This Row],[trust_code]],trust_lookup[],3,0)</f>
        <v>Hillingdon</v>
      </c>
      <c r="AD742" s="43">
        <v>46048</v>
      </c>
      <c r="AE742" s="2">
        <v>5</v>
      </c>
      <c r="AF742" s="2" t="s">
        <v>518</v>
      </c>
      <c r="AG742" s="2" t="s">
        <v>37</v>
      </c>
      <c r="AH742" s="2" t="s">
        <v>38</v>
      </c>
      <c r="AI742" s="2" t="s">
        <v>190</v>
      </c>
      <c r="AJ742" s="23">
        <v>24</v>
      </c>
      <c r="AK742" s="23">
        <v>7322</v>
      </c>
      <c r="AL742" s="23">
        <v>21363</v>
      </c>
      <c r="AM742" s="24">
        <v>0.34274212423348699</v>
      </c>
      <c r="AN742" s="44" t="str">
        <f>VLOOKUP(flu_aw25[[#This Row],[trust_code]],trust_lookup[],3,0)</f>
        <v>Barts</v>
      </c>
    </row>
    <row r="743" spans="11:40" x14ac:dyDescent="0.35">
      <c r="K743" s="2" t="s">
        <v>519</v>
      </c>
      <c r="L743" s="2" t="s">
        <v>95</v>
      </c>
      <c r="M743" s="2" t="s">
        <v>96</v>
      </c>
      <c r="N743" s="2" t="s">
        <v>190</v>
      </c>
      <c r="O743" s="2" t="s">
        <v>36</v>
      </c>
      <c r="P743" s="2">
        <v>50</v>
      </c>
      <c r="R743" s="43">
        <v>45635</v>
      </c>
      <c r="S743" s="2">
        <v>50</v>
      </c>
      <c r="T743" s="2" t="s">
        <v>519</v>
      </c>
      <c r="U743" s="2" t="s">
        <v>176</v>
      </c>
      <c r="V743" s="2" t="s">
        <v>177</v>
      </c>
      <c r="W743" s="2" t="s">
        <v>192</v>
      </c>
      <c r="X743" s="23">
        <v>37</v>
      </c>
      <c r="Y743" s="23">
        <v>760</v>
      </c>
      <c r="Z743" s="23">
        <v>3046</v>
      </c>
      <c r="AA743" s="24">
        <v>0.249507550886408</v>
      </c>
      <c r="AB743" s="14" t="str">
        <f>VLOOKUP(flu_aw24[[#This Row],[trust_code]],trust_lookup[],3,0)</f>
        <v>Hillingdon</v>
      </c>
      <c r="AD743" s="43">
        <v>46055</v>
      </c>
      <c r="AE743" s="2">
        <v>6</v>
      </c>
      <c r="AF743" s="2" t="s">
        <v>518</v>
      </c>
      <c r="AG743" s="2" t="s">
        <v>37</v>
      </c>
      <c r="AH743" s="2" t="s">
        <v>38</v>
      </c>
      <c r="AI743" s="2" t="s">
        <v>190</v>
      </c>
      <c r="AJ743" s="23">
        <v>20</v>
      </c>
      <c r="AK743" s="23">
        <v>7342</v>
      </c>
      <c r="AL743" s="23">
        <v>21363</v>
      </c>
      <c r="AM743" s="24">
        <v>0.34367832233300499</v>
      </c>
      <c r="AN743" s="44" t="str">
        <f>VLOOKUP(flu_aw25[[#This Row],[trust_code]],trust_lookup[],3,0)</f>
        <v>Barts</v>
      </c>
    </row>
    <row r="744" spans="11:40" x14ac:dyDescent="0.35">
      <c r="K744" s="2" t="s">
        <v>519</v>
      </c>
      <c r="L744" s="2" t="s">
        <v>142</v>
      </c>
      <c r="M744" s="2" t="s">
        <v>143</v>
      </c>
      <c r="N744" s="2" t="s">
        <v>190</v>
      </c>
      <c r="O744" s="2" t="s">
        <v>68</v>
      </c>
      <c r="P744" s="2">
        <v>750</v>
      </c>
      <c r="R744" s="43">
        <v>45642</v>
      </c>
      <c r="S744" s="2">
        <v>51</v>
      </c>
      <c r="T744" s="2" t="s">
        <v>519</v>
      </c>
      <c r="U744" s="2" t="s">
        <v>176</v>
      </c>
      <c r="V744" s="2" t="s">
        <v>177</v>
      </c>
      <c r="W744" s="2" t="s">
        <v>192</v>
      </c>
      <c r="X744" s="23">
        <v>42</v>
      </c>
      <c r="Y744" s="23">
        <v>802</v>
      </c>
      <c r="Z744" s="23">
        <v>3046</v>
      </c>
      <c r="AA744" s="24">
        <v>0.263296126066973</v>
      </c>
      <c r="AB744" s="14" t="str">
        <f>VLOOKUP(flu_aw24[[#This Row],[trust_code]],trust_lookup[],3,0)</f>
        <v>Hillingdon</v>
      </c>
      <c r="AD744" s="43">
        <v>46062</v>
      </c>
      <c r="AE744" s="2">
        <v>7</v>
      </c>
      <c r="AF744" s="2" t="s">
        <v>518</v>
      </c>
      <c r="AG744" s="2" t="s">
        <v>37</v>
      </c>
      <c r="AH744" s="2" t="s">
        <v>38</v>
      </c>
      <c r="AI744" s="2" t="s">
        <v>190</v>
      </c>
      <c r="AJ744" s="23">
        <v>11</v>
      </c>
      <c r="AK744" s="23">
        <v>7353</v>
      </c>
      <c r="AL744" s="23">
        <v>21363</v>
      </c>
      <c r="AM744" s="24">
        <v>0.34419323128773999</v>
      </c>
      <c r="AN744" s="44" t="str">
        <f>VLOOKUP(flu_aw25[[#This Row],[trust_code]],trust_lookup[],3,0)</f>
        <v>Barts</v>
      </c>
    </row>
    <row r="745" spans="11:40" x14ac:dyDescent="0.35">
      <c r="K745" s="2" t="s">
        <v>519</v>
      </c>
      <c r="L745" s="2" t="s">
        <v>142</v>
      </c>
      <c r="M745" s="2" t="s">
        <v>143</v>
      </c>
      <c r="N745" s="2" t="s">
        <v>190</v>
      </c>
      <c r="O745" s="2" t="s">
        <v>135</v>
      </c>
      <c r="P745" s="2">
        <v>30</v>
      </c>
      <c r="R745" s="43">
        <v>45649</v>
      </c>
      <c r="S745" s="2">
        <v>52</v>
      </c>
      <c r="T745" s="2" t="s">
        <v>519</v>
      </c>
      <c r="U745" s="2" t="s">
        <v>176</v>
      </c>
      <c r="V745" s="2" t="s">
        <v>177</v>
      </c>
      <c r="W745" s="2" t="s">
        <v>192</v>
      </c>
      <c r="X745" s="23">
        <v>3</v>
      </c>
      <c r="Y745" s="23">
        <v>805</v>
      </c>
      <c r="Z745" s="23">
        <v>3046</v>
      </c>
      <c r="AA745" s="24">
        <v>0.26428102429415601</v>
      </c>
      <c r="AB745" s="14" t="str">
        <f>VLOOKUP(flu_aw24[[#This Row],[trust_code]],trust_lookup[],3,0)</f>
        <v>Hillingdon</v>
      </c>
      <c r="AD745" s="43">
        <v>46069</v>
      </c>
      <c r="AE745" s="2">
        <v>8</v>
      </c>
      <c r="AF745" s="2" t="s">
        <v>518</v>
      </c>
      <c r="AG745" s="2" t="s">
        <v>37</v>
      </c>
      <c r="AH745" s="2" t="s">
        <v>38</v>
      </c>
      <c r="AI745" s="2" t="s">
        <v>190</v>
      </c>
      <c r="AJ745" s="23">
        <v>4</v>
      </c>
      <c r="AK745" s="23">
        <v>7357</v>
      </c>
      <c r="AL745" s="23">
        <v>21363</v>
      </c>
      <c r="AM745" s="24">
        <v>0.34438047090764401</v>
      </c>
      <c r="AN745" s="44" t="str">
        <f>VLOOKUP(flu_aw25[[#This Row],[trust_code]],trust_lookup[],3,0)</f>
        <v>Barts</v>
      </c>
    </row>
    <row r="746" spans="11:40" x14ac:dyDescent="0.35">
      <c r="K746" s="2" t="s">
        <v>519</v>
      </c>
      <c r="L746" s="2" t="s">
        <v>142</v>
      </c>
      <c r="M746" s="2" t="s">
        <v>143</v>
      </c>
      <c r="N746" s="2" t="s">
        <v>190</v>
      </c>
      <c r="O746" s="2" t="s">
        <v>54</v>
      </c>
      <c r="P746" s="2">
        <v>125</v>
      </c>
      <c r="R746" s="43">
        <v>45656</v>
      </c>
      <c r="S746" s="2">
        <v>1</v>
      </c>
      <c r="T746" s="2" t="s">
        <v>519</v>
      </c>
      <c r="U746" s="2" t="s">
        <v>176</v>
      </c>
      <c r="V746" s="2" t="s">
        <v>177</v>
      </c>
      <c r="W746" s="2" t="s">
        <v>192</v>
      </c>
      <c r="X746" s="23">
        <v>7</v>
      </c>
      <c r="Y746" s="23">
        <v>812</v>
      </c>
      <c r="Z746" s="23">
        <v>3046</v>
      </c>
      <c r="AA746" s="24">
        <v>0.266579120157583</v>
      </c>
      <c r="AB746" s="14" t="str">
        <f>VLOOKUP(flu_aw24[[#This Row],[trust_code]],trust_lookup[],3,0)</f>
        <v>Hillingdon</v>
      </c>
      <c r="AD746" s="43">
        <v>46076</v>
      </c>
      <c r="AE746" s="2">
        <v>9</v>
      </c>
      <c r="AF746" s="2" t="s">
        <v>518</v>
      </c>
      <c r="AG746" s="2" t="s">
        <v>37</v>
      </c>
      <c r="AH746" s="2" t="s">
        <v>38</v>
      </c>
      <c r="AI746" s="2" t="s">
        <v>190</v>
      </c>
      <c r="AJ746" s="23">
        <v>12</v>
      </c>
      <c r="AK746" s="23">
        <v>7369</v>
      </c>
      <c r="AL746" s="23">
        <v>21363</v>
      </c>
      <c r="AM746" s="24">
        <v>0.34494218976735402</v>
      </c>
      <c r="AN746" s="44" t="str">
        <f>VLOOKUP(flu_aw25[[#This Row],[trust_code]],trust_lookup[],3,0)</f>
        <v>Barts</v>
      </c>
    </row>
    <row r="747" spans="11:40" x14ac:dyDescent="0.35">
      <c r="K747" s="2" t="s">
        <v>519</v>
      </c>
      <c r="L747" s="2" t="s">
        <v>142</v>
      </c>
      <c r="M747" s="2" t="s">
        <v>143</v>
      </c>
      <c r="N747" s="2" t="s">
        <v>190</v>
      </c>
      <c r="O747" s="2" t="s">
        <v>129</v>
      </c>
      <c r="P747" s="2">
        <v>6</v>
      </c>
      <c r="R747" s="43">
        <v>45663</v>
      </c>
      <c r="S747" s="2">
        <v>2</v>
      </c>
      <c r="T747" s="2" t="s">
        <v>519</v>
      </c>
      <c r="U747" s="2" t="s">
        <v>176</v>
      </c>
      <c r="V747" s="2" t="s">
        <v>177</v>
      </c>
      <c r="W747" s="2" t="s">
        <v>192</v>
      </c>
      <c r="X747" s="23">
        <v>30</v>
      </c>
      <c r="Y747" s="23">
        <v>842</v>
      </c>
      <c r="Z747" s="23">
        <v>3046</v>
      </c>
      <c r="AA747" s="24">
        <v>0.27642810242941501</v>
      </c>
      <c r="AB747" s="14" t="str">
        <f>VLOOKUP(flu_aw24[[#This Row],[trust_code]],trust_lookup[],3,0)</f>
        <v>Hillingdon</v>
      </c>
    </row>
    <row r="748" spans="11:40" x14ac:dyDescent="0.35">
      <c r="K748" s="2" t="s">
        <v>519</v>
      </c>
      <c r="L748" s="2" t="s">
        <v>142</v>
      </c>
      <c r="M748" s="2" t="s">
        <v>143</v>
      </c>
      <c r="N748" s="2" t="s">
        <v>190</v>
      </c>
      <c r="O748" s="2" t="s">
        <v>47</v>
      </c>
      <c r="P748" s="2">
        <v>22</v>
      </c>
      <c r="R748" s="43">
        <v>45670</v>
      </c>
      <c r="S748" s="2">
        <v>3</v>
      </c>
      <c r="T748" s="2" t="s">
        <v>519</v>
      </c>
      <c r="U748" s="2" t="s">
        <v>176</v>
      </c>
      <c r="V748" s="2" t="s">
        <v>177</v>
      </c>
      <c r="W748" s="2" t="s">
        <v>192</v>
      </c>
      <c r="X748" s="23">
        <v>18</v>
      </c>
      <c r="Y748" s="23">
        <v>860</v>
      </c>
      <c r="Z748" s="23">
        <v>3046</v>
      </c>
      <c r="AA748" s="24">
        <v>0.28233749179251399</v>
      </c>
      <c r="AB748" s="14" t="str">
        <f>VLOOKUP(flu_aw24[[#This Row],[trust_code]],trust_lookup[],3,0)</f>
        <v>Hillingdon</v>
      </c>
    </row>
    <row r="749" spans="11:40" x14ac:dyDescent="0.35">
      <c r="K749" s="2" t="s">
        <v>519</v>
      </c>
      <c r="L749" s="2" t="s">
        <v>142</v>
      </c>
      <c r="M749" s="2" t="s">
        <v>143</v>
      </c>
      <c r="N749" s="2" t="s">
        <v>190</v>
      </c>
      <c r="O749" s="2" t="s">
        <v>94</v>
      </c>
      <c r="P749" s="2">
        <v>7</v>
      </c>
      <c r="R749" s="43">
        <v>45677</v>
      </c>
      <c r="S749" s="2">
        <v>4</v>
      </c>
      <c r="T749" s="2" t="s">
        <v>519</v>
      </c>
      <c r="U749" s="2" t="s">
        <v>176</v>
      </c>
      <c r="V749" s="2" t="s">
        <v>177</v>
      </c>
      <c r="W749" s="2" t="s">
        <v>192</v>
      </c>
      <c r="X749" s="23">
        <v>29</v>
      </c>
      <c r="Y749" s="23">
        <v>889</v>
      </c>
      <c r="Z749" s="23">
        <v>3046</v>
      </c>
      <c r="AA749" s="24">
        <v>0.29185817465528502</v>
      </c>
      <c r="AB749" s="14" t="str">
        <f>VLOOKUP(flu_aw24[[#This Row],[trust_code]],trust_lookup[],3,0)</f>
        <v>Hillingdon</v>
      </c>
    </row>
    <row r="750" spans="11:40" x14ac:dyDescent="0.35">
      <c r="K750" s="2" t="s">
        <v>519</v>
      </c>
      <c r="L750" s="2" t="s">
        <v>142</v>
      </c>
      <c r="M750" s="2" t="s">
        <v>143</v>
      </c>
      <c r="N750" s="2" t="s">
        <v>190</v>
      </c>
      <c r="O750" s="2" t="s">
        <v>29</v>
      </c>
      <c r="P750" s="2">
        <v>16</v>
      </c>
      <c r="R750" s="43">
        <v>45684</v>
      </c>
      <c r="S750" s="2">
        <v>5</v>
      </c>
      <c r="T750" s="2" t="s">
        <v>519</v>
      </c>
      <c r="U750" s="2" t="s">
        <v>176</v>
      </c>
      <c r="V750" s="2" t="s">
        <v>177</v>
      </c>
      <c r="W750" s="2" t="s">
        <v>192</v>
      </c>
      <c r="X750" s="23">
        <v>11</v>
      </c>
      <c r="Y750" s="23">
        <v>900</v>
      </c>
      <c r="Z750" s="23">
        <v>3046</v>
      </c>
      <c r="AA750" s="24">
        <v>0.295469468154957</v>
      </c>
      <c r="AB750" s="14" t="str">
        <f>VLOOKUP(flu_aw24[[#This Row],[trust_code]],trust_lookup[],3,0)</f>
        <v>Hillingdon</v>
      </c>
    </row>
    <row r="751" spans="11:40" x14ac:dyDescent="0.35">
      <c r="K751" s="2" t="s">
        <v>519</v>
      </c>
      <c r="L751" s="2" t="s">
        <v>142</v>
      </c>
      <c r="M751" s="2" t="s">
        <v>143</v>
      </c>
      <c r="N751" s="2" t="s">
        <v>190</v>
      </c>
      <c r="O751" s="2" t="s">
        <v>123</v>
      </c>
      <c r="P751" s="2">
        <v>112</v>
      </c>
      <c r="R751" s="43">
        <v>45691</v>
      </c>
      <c r="S751" s="2">
        <v>6</v>
      </c>
      <c r="T751" s="2" t="s">
        <v>519</v>
      </c>
      <c r="U751" s="2" t="s">
        <v>176</v>
      </c>
      <c r="V751" s="2" t="s">
        <v>177</v>
      </c>
      <c r="W751" s="2" t="s">
        <v>192</v>
      </c>
      <c r="X751" s="23">
        <v>5</v>
      </c>
      <c r="Y751" s="23">
        <v>905</v>
      </c>
      <c r="Z751" s="23">
        <v>3046</v>
      </c>
      <c r="AA751" s="24">
        <v>0.29711096520026198</v>
      </c>
      <c r="AB751" s="14" t="str">
        <f>VLOOKUP(flu_aw24[[#This Row],[trust_code]],trust_lookup[],3,0)</f>
        <v>Hillingdon</v>
      </c>
    </row>
    <row r="752" spans="11:40" x14ac:dyDescent="0.35">
      <c r="K752" s="2" t="s">
        <v>519</v>
      </c>
      <c r="L752" s="2" t="s">
        <v>142</v>
      </c>
      <c r="M752" s="2" t="s">
        <v>143</v>
      </c>
      <c r="N752" s="2" t="s">
        <v>190</v>
      </c>
      <c r="O752" s="2" t="s">
        <v>82</v>
      </c>
      <c r="P752" s="2">
        <v>35</v>
      </c>
      <c r="R752" s="43">
        <v>45698</v>
      </c>
      <c r="S752" s="2">
        <v>7</v>
      </c>
      <c r="T752" s="2" t="s">
        <v>519</v>
      </c>
      <c r="U752" s="2" t="s">
        <v>176</v>
      </c>
      <c r="V752" s="2" t="s">
        <v>177</v>
      </c>
      <c r="W752" s="2" t="s">
        <v>192</v>
      </c>
      <c r="X752" s="23">
        <v>1</v>
      </c>
      <c r="Y752" s="23">
        <v>906</v>
      </c>
      <c r="Z752" s="23">
        <v>3046</v>
      </c>
      <c r="AA752" s="24">
        <v>0.29743926460932302</v>
      </c>
      <c r="AB752" s="14" t="str">
        <f>VLOOKUP(flu_aw24[[#This Row],[trust_code]],trust_lookup[],3,0)</f>
        <v>Hillingdon</v>
      </c>
    </row>
    <row r="753" spans="11:28" x14ac:dyDescent="0.35">
      <c r="K753" s="2" t="s">
        <v>519</v>
      </c>
      <c r="L753" s="2" t="s">
        <v>142</v>
      </c>
      <c r="M753" s="2" t="s">
        <v>143</v>
      </c>
      <c r="N753" s="2" t="s">
        <v>190</v>
      </c>
      <c r="O753" s="2" t="s">
        <v>88</v>
      </c>
      <c r="P753" s="2">
        <v>32</v>
      </c>
      <c r="R753" s="43">
        <v>45705</v>
      </c>
      <c r="S753" s="2">
        <v>8</v>
      </c>
      <c r="T753" s="2" t="s">
        <v>519</v>
      </c>
      <c r="U753" s="2" t="s">
        <v>176</v>
      </c>
      <c r="V753" s="2" t="s">
        <v>177</v>
      </c>
      <c r="W753" s="2" t="s">
        <v>192</v>
      </c>
      <c r="X753" s="23">
        <v>3</v>
      </c>
      <c r="Y753" s="23">
        <v>909</v>
      </c>
      <c r="Z753" s="23">
        <v>3046</v>
      </c>
      <c r="AA753" s="24">
        <v>0.29842416283650602</v>
      </c>
      <c r="AB753" s="14" t="str">
        <f>VLOOKUP(flu_aw24[[#This Row],[trust_code]],trust_lookup[],3,0)</f>
        <v>Hillingdon</v>
      </c>
    </row>
    <row r="754" spans="11:28" x14ac:dyDescent="0.35">
      <c r="K754" s="2" t="s">
        <v>519</v>
      </c>
      <c r="L754" s="2" t="s">
        <v>142</v>
      </c>
      <c r="M754" s="2" t="s">
        <v>143</v>
      </c>
      <c r="N754" s="2" t="s">
        <v>190</v>
      </c>
      <c r="O754" s="2" t="s">
        <v>141</v>
      </c>
      <c r="P754" s="2">
        <v>67</v>
      </c>
      <c r="R754" s="43">
        <v>45719</v>
      </c>
      <c r="S754" s="2">
        <v>10</v>
      </c>
      <c r="T754" s="2" t="s">
        <v>519</v>
      </c>
      <c r="U754" s="2" t="s">
        <v>176</v>
      </c>
      <c r="V754" s="2" t="s">
        <v>177</v>
      </c>
      <c r="W754" s="2" t="s">
        <v>192</v>
      </c>
      <c r="X754" s="23">
        <v>1</v>
      </c>
      <c r="Y754" s="23">
        <v>910</v>
      </c>
      <c r="Z754" s="23">
        <v>3046</v>
      </c>
      <c r="AA754" s="24">
        <v>0.29875246224556701</v>
      </c>
      <c r="AB754" s="14" t="str">
        <f>VLOOKUP(flu_aw24[[#This Row],[trust_code]],trust_lookup[],3,0)</f>
        <v>Hillingdon</v>
      </c>
    </row>
    <row r="755" spans="11:28" x14ac:dyDescent="0.35">
      <c r="K755" s="2" t="s">
        <v>519</v>
      </c>
      <c r="L755" s="2" t="s">
        <v>142</v>
      </c>
      <c r="M755" s="2" t="s">
        <v>143</v>
      </c>
      <c r="N755" s="2" t="s">
        <v>190</v>
      </c>
      <c r="O755" s="2" t="s">
        <v>61</v>
      </c>
      <c r="P755" s="2">
        <v>24</v>
      </c>
      <c r="R755" s="43">
        <v>45726</v>
      </c>
      <c r="S755" s="2">
        <v>11</v>
      </c>
      <c r="T755" s="2" t="s">
        <v>519</v>
      </c>
      <c r="U755" s="2" t="s">
        <v>176</v>
      </c>
      <c r="V755" s="2" t="s">
        <v>177</v>
      </c>
      <c r="W755" s="2" t="s">
        <v>192</v>
      </c>
      <c r="X755" s="23">
        <v>2</v>
      </c>
      <c r="Y755" s="23">
        <v>912</v>
      </c>
      <c r="Z755" s="23">
        <v>3046</v>
      </c>
      <c r="AA755" s="24">
        <v>0.29940906106368997</v>
      </c>
      <c r="AB755" s="14" t="str">
        <f>VLOOKUP(flu_aw24[[#This Row],[trust_code]],trust_lookup[],3,0)</f>
        <v>Hillingdon</v>
      </c>
    </row>
    <row r="756" spans="11:28" x14ac:dyDescent="0.35">
      <c r="K756" s="2" t="s">
        <v>519</v>
      </c>
      <c r="L756" s="2" t="s">
        <v>142</v>
      </c>
      <c r="M756" s="2" t="s">
        <v>143</v>
      </c>
      <c r="N756" s="2" t="s">
        <v>190</v>
      </c>
      <c r="O756" s="2" t="s">
        <v>100</v>
      </c>
      <c r="P756" s="2">
        <v>332</v>
      </c>
      <c r="R756" s="43">
        <v>45530</v>
      </c>
      <c r="S756" s="2">
        <v>35</v>
      </c>
      <c r="T756" s="2" t="s">
        <v>519</v>
      </c>
      <c r="U756" s="2" t="s">
        <v>179</v>
      </c>
      <c r="V756" s="2" t="s">
        <v>180</v>
      </c>
      <c r="W756" s="2" t="s">
        <v>194</v>
      </c>
      <c r="X756" s="23">
        <v>1</v>
      </c>
      <c r="Y756" s="23">
        <v>1</v>
      </c>
      <c r="Z756" s="23">
        <v>3394</v>
      </c>
      <c r="AA756" s="24">
        <v>2.9463759575721802E-4</v>
      </c>
      <c r="AB756" s="14" t="str">
        <f>VLOOKUP(flu_aw24[[#This Row],[trust_code]],trust_lookup[],3,0)</f>
        <v>Marsden</v>
      </c>
    </row>
    <row r="757" spans="11:28" x14ac:dyDescent="0.35">
      <c r="K757" s="2" t="s">
        <v>519</v>
      </c>
      <c r="L757" s="2" t="s">
        <v>142</v>
      </c>
      <c r="M757" s="2" t="s">
        <v>143</v>
      </c>
      <c r="N757" s="2" t="s">
        <v>190</v>
      </c>
      <c r="O757" s="2" t="s">
        <v>75</v>
      </c>
      <c r="P757" s="2">
        <v>57</v>
      </c>
      <c r="R757" s="43">
        <v>45537</v>
      </c>
      <c r="S757" s="2">
        <v>36</v>
      </c>
      <c r="T757" s="2" t="s">
        <v>519</v>
      </c>
      <c r="U757" s="2" t="s">
        <v>179</v>
      </c>
      <c r="V757" s="2" t="s">
        <v>180</v>
      </c>
      <c r="W757" s="2" t="s">
        <v>194</v>
      </c>
      <c r="X757" s="23">
        <v>2</v>
      </c>
      <c r="Y757" s="23">
        <v>3</v>
      </c>
      <c r="Z757" s="23">
        <v>3394</v>
      </c>
      <c r="AA757" s="24">
        <v>8.8391278727165503E-4</v>
      </c>
      <c r="AB757" s="14" t="str">
        <f>VLOOKUP(flu_aw24[[#This Row],[trust_code]],trust_lookup[],3,0)</f>
        <v>Marsden</v>
      </c>
    </row>
    <row r="758" spans="11:28" x14ac:dyDescent="0.35">
      <c r="K758" s="2" t="s">
        <v>519</v>
      </c>
      <c r="L758" s="2" t="s">
        <v>142</v>
      </c>
      <c r="M758" s="2" t="s">
        <v>143</v>
      </c>
      <c r="N758" s="2" t="s">
        <v>190</v>
      </c>
      <c r="O758" s="2" t="s">
        <v>106</v>
      </c>
      <c r="P758" s="2">
        <v>19</v>
      </c>
      <c r="R758" s="43">
        <v>45544</v>
      </c>
      <c r="S758" s="2">
        <v>37</v>
      </c>
      <c r="T758" s="2" t="s">
        <v>519</v>
      </c>
      <c r="U758" s="2" t="s">
        <v>179</v>
      </c>
      <c r="V758" s="2" t="s">
        <v>180</v>
      </c>
      <c r="W758" s="2" t="s">
        <v>194</v>
      </c>
      <c r="X758" s="23">
        <v>1</v>
      </c>
      <c r="Y758" s="23">
        <v>4</v>
      </c>
      <c r="Z758" s="23">
        <v>3394</v>
      </c>
      <c r="AA758" s="24">
        <v>1.1785503830288699E-3</v>
      </c>
      <c r="AB758" s="14" t="str">
        <f>VLOOKUP(flu_aw24[[#This Row],[trust_code]],trust_lookup[],3,0)</f>
        <v>Marsden</v>
      </c>
    </row>
    <row r="759" spans="11:28" x14ac:dyDescent="0.35">
      <c r="K759" s="2" t="s">
        <v>519</v>
      </c>
      <c r="L759" s="2" t="s">
        <v>142</v>
      </c>
      <c r="M759" s="2" t="s">
        <v>143</v>
      </c>
      <c r="N759" s="2" t="s">
        <v>190</v>
      </c>
      <c r="O759" s="2" t="s">
        <v>112</v>
      </c>
      <c r="P759" s="2">
        <v>59</v>
      </c>
      <c r="R759" s="43">
        <v>45551</v>
      </c>
      <c r="S759" s="2">
        <v>38</v>
      </c>
      <c r="T759" s="2" t="s">
        <v>519</v>
      </c>
      <c r="U759" s="2" t="s">
        <v>179</v>
      </c>
      <c r="V759" s="2" t="s">
        <v>180</v>
      </c>
      <c r="W759" s="2" t="s">
        <v>194</v>
      </c>
      <c r="X759" s="23">
        <v>4</v>
      </c>
      <c r="Y759" s="23">
        <v>8</v>
      </c>
      <c r="Z759" s="23">
        <v>3394</v>
      </c>
      <c r="AA759" s="24">
        <v>2.3571007660577398E-3</v>
      </c>
      <c r="AB759" s="14" t="str">
        <f>VLOOKUP(flu_aw24[[#This Row],[trust_code]],trust_lookup[],3,0)</f>
        <v>Marsden</v>
      </c>
    </row>
    <row r="760" spans="11:28" x14ac:dyDescent="0.35">
      <c r="K760" s="2" t="s">
        <v>519</v>
      </c>
      <c r="L760" s="2" t="s">
        <v>142</v>
      </c>
      <c r="M760" s="2" t="s">
        <v>143</v>
      </c>
      <c r="N760" s="2" t="s">
        <v>190</v>
      </c>
      <c r="O760" s="2" t="s">
        <v>36</v>
      </c>
      <c r="P760" s="2">
        <v>68</v>
      </c>
      <c r="R760" s="43">
        <v>45558</v>
      </c>
      <c r="S760" s="2">
        <v>39</v>
      </c>
      <c r="T760" s="2" t="s">
        <v>519</v>
      </c>
      <c r="U760" s="2" t="s">
        <v>179</v>
      </c>
      <c r="V760" s="2" t="s">
        <v>180</v>
      </c>
      <c r="W760" s="2" t="s">
        <v>194</v>
      </c>
      <c r="X760" s="23">
        <v>5</v>
      </c>
      <c r="Y760" s="23">
        <v>13</v>
      </c>
      <c r="Z760" s="23">
        <v>3394</v>
      </c>
      <c r="AA760" s="24">
        <v>3.8302887448438401E-3</v>
      </c>
      <c r="AB760" s="14" t="str">
        <f>VLOOKUP(flu_aw24[[#This Row],[trust_code]],trust_lookup[],3,0)</f>
        <v>Marsden</v>
      </c>
    </row>
    <row r="761" spans="11:28" x14ac:dyDescent="0.35">
      <c r="K761" s="2" t="s">
        <v>519</v>
      </c>
      <c r="L761" s="2" t="s">
        <v>25</v>
      </c>
      <c r="M761" s="2" t="s">
        <v>26</v>
      </c>
      <c r="N761" s="2" t="s">
        <v>192</v>
      </c>
      <c r="O761" s="2" t="s">
        <v>68</v>
      </c>
      <c r="P761" s="2">
        <v>689</v>
      </c>
      <c r="R761" s="43">
        <v>45565</v>
      </c>
      <c r="S761" s="2">
        <v>40</v>
      </c>
      <c r="T761" s="2" t="s">
        <v>519</v>
      </c>
      <c r="U761" s="2" t="s">
        <v>179</v>
      </c>
      <c r="V761" s="2" t="s">
        <v>180</v>
      </c>
      <c r="W761" s="2" t="s">
        <v>194</v>
      </c>
      <c r="X761" s="23">
        <v>246</v>
      </c>
      <c r="Y761" s="23">
        <v>259</v>
      </c>
      <c r="Z761" s="23">
        <v>3394</v>
      </c>
      <c r="AA761" s="24">
        <v>7.6311137301119603E-2</v>
      </c>
      <c r="AB761" s="14" t="str">
        <f>VLOOKUP(flu_aw24[[#This Row],[trust_code]],trust_lookup[],3,0)</f>
        <v>Marsden</v>
      </c>
    </row>
    <row r="762" spans="11:28" x14ac:dyDescent="0.35">
      <c r="K762" s="2" t="s">
        <v>519</v>
      </c>
      <c r="L762" s="2" t="s">
        <v>25</v>
      </c>
      <c r="M762" s="2" t="s">
        <v>26</v>
      </c>
      <c r="N762" s="2" t="s">
        <v>192</v>
      </c>
      <c r="O762" s="2" t="s">
        <v>135</v>
      </c>
      <c r="P762" s="2">
        <v>34</v>
      </c>
      <c r="R762" s="43">
        <v>45572</v>
      </c>
      <c r="S762" s="2">
        <v>41</v>
      </c>
      <c r="T762" s="2" t="s">
        <v>519</v>
      </c>
      <c r="U762" s="2" t="s">
        <v>179</v>
      </c>
      <c r="V762" s="2" t="s">
        <v>180</v>
      </c>
      <c r="W762" s="2" t="s">
        <v>194</v>
      </c>
      <c r="X762" s="23">
        <v>283</v>
      </c>
      <c r="Y762" s="23">
        <v>542</v>
      </c>
      <c r="Z762" s="23">
        <v>3394</v>
      </c>
      <c r="AA762" s="24">
        <v>0.159693576900412</v>
      </c>
      <c r="AB762" s="14" t="str">
        <f>VLOOKUP(flu_aw24[[#This Row],[trust_code]],trust_lookup[],3,0)</f>
        <v>Marsden</v>
      </c>
    </row>
    <row r="763" spans="11:28" x14ac:dyDescent="0.35">
      <c r="K763" s="2" t="s">
        <v>519</v>
      </c>
      <c r="L763" s="2" t="s">
        <v>25</v>
      </c>
      <c r="M763" s="2" t="s">
        <v>26</v>
      </c>
      <c r="N763" s="2" t="s">
        <v>192</v>
      </c>
      <c r="O763" s="2" t="s">
        <v>54</v>
      </c>
      <c r="P763" s="2">
        <v>147</v>
      </c>
      <c r="R763" s="43">
        <v>45579</v>
      </c>
      <c r="S763" s="2">
        <v>42</v>
      </c>
      <c r="T763" s="2" t="s">
        <v>519</v>
      </c>
      <c r="U763" s="2" t="s">
        <v>179</v>
      </c>
      <c r="V763" s="2" t="s">
        <v>180</v>
      </c>
      <c r="W763" s="2" t="s">
        <v>194</v>
      </c>
      <c r="X763" s="23">
        <v>141</v>
      </c>
      <c r="Y763" s="23">
        <v>683</v>
      </c>
      <c r="Z763" s="23">
        <v>3394</v>
      </c>
      <c r="AA763" s="24">
        <v>0.20123747790218</v>
      </c>
      <c r="AB763" s="14" t="str">
        <f>VLOOKUP(flu_aw24[[#This Row],[trust_code]],trust_lookup[],3,0)</f>
        <v>Marsden</v>
      </c>
    </row>
    <row r="764" spans="11:28" x14ac:dyDescent="0.35">
      <c r="K764" s="2" t="s">
        <v>519</v>
      </c>
      <c r="L764" s="2" t="s">
        <v>25</v>
      </c>
      <c r="M764" s="2" t="s">
        <v>26</v>
      </c>
      <c r="N764" s="2" t="s">
        <v>192</v>
      </c>
      <c r="O764" s="2" t="s">
        <v>129</v>
      </c>
      <c r="P764" s="2">
        <v>11</v>
      </c>
      <c r="R764" s="43">
        <v>45586</v>
      </c>
      <c r="S764" s="2">
        <v>43</v>
      </c>
      <c r="T764" s="2" t="s">
        <v>519</v>
      </c>
      <c r="U764" s="2" t="s">
        <v>179</v>
      </c>
      <c r="V764" s="2" t="s">
        <v>180</v>
      </c>
      <c r="W764" s="2" t="s">
        <v>194</v>
      </c>
      <c r="X764" s="23">
        <v>143</v>
      </c>
      <c r="Y764" s="23">
        <v>826</v>
      </c>
      <c r="Z764" s="23">
        <v>3394</v>
      </c>
      <c r="AA764" s="24">
        <v>0.24337065409546199</v>
      </c>
      <c r="AB764" s="14" t="str">
        <f>VLOOKUP(flu_aw24[[#This Row],[trust_code]],trust_lookup[],3,0)</f>
        <v>Marsden</v>
      </c>
    </row>
    <row r="765" spans="11:28" x14ac:dyDescent="0.35">
      <c r="K765" s="2" t="s">
        <v>519</v>
      </c>
      <c r="L765" s="2" t="s">
        <v>25</v>
      </c>
      <c r="M765" s="2" t="s">
        <v>26</v>
      </c>
      <c r="N765" s="2" t="s">
        <v>192</v>
      </c>
      <c r="O765" s="2" t="s">
        <v>47</v>
      </c>
      <c r="P765" s="2">
        <v>16</v>
      </c>
      <c r="R765" s="43">
        <v>45593</v>
      </c>
      <c r="S765" s="2">
        <v>44</v>
      </c>
      <c r="T765" s="2" t="s">
        <v>519</v>
      </c>
      <c r="U765" s="2" t="s">
        <v>179</v>
      </c>
      <c r="V765" s="2" t="s">
        <v>180</v>
      </c>
      <c r="W765" s="2" t="s">
        <v>194</v>
      </c>
      <c r="X765" s="23">
        <v>96</v>
      </c>
      <c r="Y765" s="23">
        <v>922</v>
      </c>
      <c r="Z765" s="23">
        <v>3394</v>
      </c>
      <c r="AA765" s="24">
        <v>0.271655863288155</v>
      </c>
      <c r="AB765" s="14" t="str">
        <f>VLOOKUP(flu_aw24[[#This Row],[trust_code]],trust_lookup[],3,0)</f>
        <v>Marsden</v>
      </c>
    </row>
    <row r="766" spans="11:28" x14ac:dyDescent="0.35">
      <c r="K766" s="2" t="s">
        <v>519</v>
      </c>
      <c r="L766" s="2" t="s">
        <v>25</v>
      </c>
      <c r="M766" s="2" t="s">
        <v>26</v>
      </c>
      <c r="N766" s="2" t="s">
        <v>192</v>
      </c>
      <c r="O766" s="2" t="s">
        <v>94</v>
      </c>
      <c r="P766" s="2">
        <v>11</v>
      </c>
      <c r="R766" s="43">
        <v>45600</v>
      </c>
      <c r="S766" s="2">
        <v>45</v>
      </c>
      <c r="T766" s="2" t="s">
        <v>519</v>
      </c>
      <c r="U766" s="2" t="s">
        <v>179</v>
      </c>
      <c r="V766" s="2" t="s">
        <v>180</v>
      </c>
      <c r="W766" s="2" t="s">
        <v>194</v>
      </c>
      <c r="X766" s="23">
        <v>86</v>
      </c>
      <c r="Y766" s="23">
        <v>1008</v>
      </c>
      <c r="Z766" s="23">
        <v>3394</v>
      </c>
      <c r="AA766" s="24">
        <v>0.29699469652327598</v>
      </c>
      <c r="AB766" s="14" t="str">
        <f>VLOOKUP(flu_aw24[[#This Row],[trust_code]],trust_lookup[],3,0)</f>
        <v>Marsden</v>
      </c>
    </row>
    <row r="767" spans="11:28" x14ac:dyDescent="0.35">
      <c r="K767" s="2" t="s">
        <v>519</v>
      </c>
      <c r="L767" s="2" t="s">
        <v>25</v>
      </c>
      <c r="M767" s="2" t="s">
        <v>26</v>
      </c>
      <c r="N767" s="2" t="s">
        <v>192</v>
      </c>
      <c r="O767" s="2" t="s">
        <v>29</v>
      </c>
      <c r="P767" s="2">
        <v>24</v>
      </c>
      <c r="R767" s="43">
        <v>45607</v>
      </c>
      <c r="S767" s="2">
        <v>46</v>
      </c>
      <c r="T767" s="2" t="s">
        <v>519</v>
      </c>
      <c r="U767" s="2" t="s">
        <v>179</v>
      </c>
      <c r="V767" s="2" t="s">
        <v>180</v>
      </c>
      <c r="W767" s="2" t="s">
        <v>194</v>
      </c>
      <c r="X767" s="23">
        <v>80</v>
      </c>
      <c r="Y767" s="23">
        <v>1088</v>
      </c>
      <c r="Z767" s="23">
        <v>3394</v>
      </c>
      <c r="AA767" s="24">
        <v>0.320565704183853</v>
      </c>
      <c r="AB767" s="14" t="str">
        <f>VLOOKUP(flu_aw24[[#This Row],[trust_code]],trust_lookup[],3,0)</f>
        <v>Marsden</v>
      </c>
    </row>
    <row r="768" spans="11:28" x14ac:dyDescent="0.35">
      <c r="K768" s="2" t="s">
        <v>519</v>
      </c>
      <c r="L768" s="2" t="s">
        <v>25</v>
      </c>
      <c r="M768" s="2" t="s">
        <v>26</v>
      </c>
      <c r="N768" s="2" t="s">
        <v>192</v>
      </c>
      <c r="O768" s="2" t="s">
        <v>123</v>
      </c>
      <c r="P768" s="2">
        <v>147</v>
      </c>
      <c r="R768" s="43">
        <v>45614</v>
      </c>
      <c r="S768" s="2">
        <v>47</v>
      </c>
      <c r="T768" s="2" t="s">
        <v>519</v>
      </c>
      <c r="U768" s="2" t="s">
        <v>179</v>
      </c>
      <c r="V768" s="2" t="s">
        <v>180</v>
      </c>
      <c r="W768" s="2" t="s">
        <v>194</v>
      </c>
      <c r="X768" s="23">
        <v>48</v>
      </c>
      <c r="Y768" s="23">
        <v>1136</v>
      </c>
      <c r="Z768" s="23">
        <v>3394</v>
      </c>
      <c r="AA768" s="24">
        <v>0.33470830878020003</v>
      </c>
      <c r="AB768" s="14" t="str">
        <f>VLOOKUP(flu_aw24[[#This Row],[trust_code]],trust_lookup[],3,0)</f>
        <v>Marsden</v>
      </c>
    </row>
    <row r="769" spans="11:28" x14ac:dyDescent="0.35">
      <c r="K769" s="2" t="s">
        <v>519</v>
      </c>
      <c r="L769" s="2" t="s">
        <v>25</v>
      </c>
      <c r="M769" s="2" t="s">
        <v>26</v>
      </c>
      <c r="N769" s="2" t="s">
        <v>192</v>
      </c>
      <c r="O769" s="2" t="s">
        <v>82</v>
      </c>
      <c r="P769" s="2">
        <v>19</v>
      </c>
      <c r="R769" s="43">
        <v>45621</v>
      </c>
      <c r="S769" s="2">
        <v>48</v>
      </c>
      <c r="T769" s="2" t="s">
        <v>519</v>
      </c>
      <c r="U769" s="2" t="s">
        <v>179</v>
      </c>
      <c r="V769" s="2" t="s">
        <v>180</v>
      </c>
      <c r="W769" s="2" t="s">
        <v>194</v>
      </c>
      <c r="X769" s="23">
        <v>26</v>
      </c>
      <c r="Y769" s="23">
        <v>1162</v>
      </c>
      <c r="Z769" s="23">
        <v>3394</v>
      </c>
      <c r="AA769" s="24">
        <v>0.34236888626988798</v>
      </c>
      <c r="AB769" s="14" t="str">
        <f>VLOOKUP(flu_aw24[[#This Row],[trust_code]],trust_lookup[],3,0)</f>
        <v>Marsden</v>
      </c>
    </row>
    <row r="770" spans="11:28" x14ac:dyDescent="0.35">
      <c r="K770" s="2" t="s">
        <v>519</v>
      </c>
      <c r="L770" s="2" t="s">
        <v>25</v>
      </c>
      <c r="M770" s="2" t="s">
        <v>26</v>
      </c>
      <c r="N770" s="2" t="s">
        <v>192</v>
      </c>
      <c r="O770" s="2" t="s">
        <v>88</v>
      </c>
      <c r="P770" s="2">
        <v>5</v>
      </c>
      <c r="R770" s="43">
        <v>45628</v>
      </c>
      <c r="S770" s="2">
        <v>49</v>
      </c>
      <c r="T770" s="2" t="s">
        <v>519</v>
      </c>
      <c r="U770" s="2" t="s">
        <v>179</v>
      </c>
      <c r="V770" s="2" t="s">
        <v>180</v>
      </c>
      <c r="W770" s="2" t="s">
        <v>194</v>
      </c>
      <c r="X770" s="23">
        <v>67</v>
      </c>
      <c r="Y770" s="23">
        <v>1229</v>
      </c>
      <c r="Z770" s="23">
        <v>3394</v>
      </c>
      <c r="AA770" s="24">
        <v>0.36210960518562102</v>
      </c>
      <c r="AB770" s="14" t="str">
        <f>VLOOKUP(flu_aw24[[#This Row],[trust_code]],trust_lookup[],3,0)</f>
        <v>Marsden</v>
      </c>
    </row>
    <row r="771" spans="11:28" x14ac:dyDescent="0.35">
      <c r="K771" s="2" t="s">
        <v>519</v>
      </c>
      <c r="L771" s="2" t="s">
        <v>25</v>
      </c>
      <c r="M771" s="2" t="s">
        <v>26</v>
      </c>
      <c r="N771" s="2" t="s">
        <v>192</v>
      </c>
      <c r="O771" s="2" t="s">
        <v>141</v>
      </c>
      <c r="P771" s="2">
        <v>111</v>
      </c>
      <c r="R771" s="43">
        <v>45635</v>
      </c>
      <c r="S771" s="2">
        <v>50</v>
      </c>
      <c r="T771" s="2" t="s">
        <v>519</v>
      </c>
      <c r="U771" s="2" t="s">
        <v>179</v>
      </c>
      <c r="V771" s="2" t="s">
        <v>180</v>
      </c>
      <c r="W771" s="2" t="s">
        <v>194</v>
      </c>
      <c r="X771" s="23">
        <v>34</v>
      </c>
      <c r="Y771" s="23">
        <v>1263</v>
      </c>
      <c r="Z771" s="23">
        <v>3394</v>
      </c>
      <c r="AA771" s="24">
        <v>0.37212728344136697</v>
      </c>
      <c r="AB771" s="14" t="str">
        <f>VLOOKUP(flu_aw24[[#This Row],[trust_code]],trust_lookup[],3,0)</f>
        <v>Marsden</v>
      </c>
    </row>
    <row r="772" spans="11:28" x14ac:dyDescent="0.35">
      <c r="K772" s="2" t="s">
        <v>519</v>
      </c>
      <c r="L772" s="2" t="s">
        <v>25</v>
      </c>
      <c r="M772" s="2" t="s">
        <v>26</v>
      </c>
      <c r="N772" s="2" t="s">
        <v>192</v>
      </c>
      <c r="O772" s="2" t="s">
        <v>61</v>
      </c>
      <c r="P772" s="2">
        <v>38</v>
      </c>
      <c r="R772" s="43">
        <v>45642</v>
      </c>
      <c r="S772" s="2">
        <v>51</v>
      </c>
      <c r="T772" s="2" t="s">
        <v>519</v>
      </c>
      <c r="U772" s="2" t="s">
        <v>179</v>
      </c>
      <c r="V772" s="2" t="s">
        <v>180</v>
      </c>
      <c r="W772" s="2" t="s">
        <v>194</v>
      </c>
      <c r="X772" s="23">
        <v>27</v>
      </c>
      <c r="Y772" s="23">
        <v>1290</v>
      </c>
      <c r="Z772" s="23">
        <v>3394</v>
      </c>
      <c r="AA772" s="24">
        <v>0.38008249852681197</v>
      </c>
      <c r="AB772" s="14" t="str">
        <f>VLOOKUP(flu_aw24[[#This Row],[trust_code]],trust_lookup[],3,0)</f>
        <v>Marsden</v>
      </c>
    </row>
    <row r="773" spans="11:28" x14ac:dyDescent="0.35">
      <c r="K773" s="2" t="s">
        <v>519</v>
      </c>
      <c r="L773" s="2" t="s">
        <v>25</v>
      </c>
      <c r="M773" s="2" t="s">
        <v>26</v>
      </c>
      <c r="N773" s="2" t="s">
        <v>192</v>
      </c>
      <c r="O773" s="2" t="s">
        <v>100</v>
      </c>
      <c r="P773" s="2">
        <v>243</v>
      </c>
      <c r="R773" s="43">
        <v>45649</v>
      </c>
      <c r="S773" s="2">
        <v>52</v>
      </c>
      <c r="T773" s="2" t="s">
        <v>519</v>
      </c>
      <c r="U773" s="2" t="s">
        <v>179</v>
      </c>
      <c r="V773" s="2" t="s">
        <v>180</v>
      </c>
      <c r="W773" s="2" t="s">
        <v>194</v>
      </c>
      <c r="X773" s="23">
        <v>1</v>
      </c>
      <c r="Y773" s="23">
        <v>1291</v>
      </c>
      <c r="Z773" s="23">
        <v>3394</v>
      </c>
      <c r="AA773" s="24">
        <v>0.38037713612256902</v>
      </c>
      <c r="AB773" s="14" t="str">
        <f>VLOOKUP(flu_aw24[[#This Row],[trust_code]],trust_lookup[],3,0)</f>
        <v>Marsden</v>
      </c>
    </row>
    <row r="774" spans="11:28" x14ac:dyDescent="0.35">
      <c r="K774" s="2" t="s">
        <v>519</v>
      </c>
      <c r="L774" s="2" t="s">
        <v>25</v>
      </c>
      <c r="M774" s="2" t="s">
        <v>26</v>
      </c>
      <c r="N774" s="2" t="s">
        <v>192</v>
      </c>
      <c r="O774" s="2" t="s">
        <v>75</v>
      </c>
      <c r="P774" s="2">
        <v>59</v>
      </c>
      <c r="R774" s="43">
        <v>45656</v>
      </c>
      <c r="S774" s="2">
        <v>1</v>
      </c>
      <c r="T774" s="2" t="s">
        <v>519</v>
      </c>
      <c r="U774" s="2" t="s">
        <v>179</v>
      </c>
      <c r="V774" s="2" t="s">
        <v>180</v>
      </c>
      <c r="W774" s="2" t="s">
        <v>194</v>
      </c>
      <c r="X774" s="23">
        <v>13</v>
      </c>
      <c r="Y774" s="23">
        <v>1304</v>
      </c>
      <c r="Z774" s="23">
        <v>3394</v>
      </c>
      <c r="AA774" s="24">
        <v>0.38420742486741299</v>
      </c>
      <c r="AB774" s="14" t="str">
        <f>VLOOKUP(flu_aw24[[#This Row],[trust_code]],trust_lookup[],3,0)</f>
        <v>Marsden</v>
      </c>
    </row>
    <row r="775" spans="11:28" x14ac:dyDescent="0.35">
      <c r="K775" s="2" t="s">
        <v>519</v>
      </c>
      <c r="L775" s="2" t="s">
        <v>25</v>
      </c>
      <c r="M775" s="2" t="s">
        <v>26</v>
      </c>
      <c r="N775" s="2" t="s">
        <v>192</v>
      </c>
      <c r="O775" s="2" t="s">
        <v>106</v>
      </c>
      <c r="P775" s="2">
        <v>25</v>
      </c>
      <c r="R775" s="43">
        <v>45663</v>
      </c>
      <c r="S775" s="2">
        <v>2</v>
      </c>
      <c r="T775" s="2" t="s">
        <v>519</v>
      </c>
      <c r="U775" s="2" t="s">
        <v>179</v>
      </c>
      <c r="V775" s="2" t="s">
        <v>180</v>
      </c>
      <c r="W775" s="2" t="s">
        <v>194</v>
      </c>
      <c r="X775" s="23">
        <v>55</v>
      </c>
      <c r="Y775" s="23">
        <v>1359</v>
      </c>
      <c r="Z775" s="23">
        <v>3394</v>
      </c>
      <c r="AA775" s="24">
        <v>0.40041249263405998</v>
      </c>
      <c r="AB775" s="14" t="str">
        <f>VLOOKUP(flu_aw24[[#This Row],[trust_code]],trust_lookup[],3,0)</f>
        <v>Marsden</v>
      </c>
    </row>
    <row r="776" spans="11:28" x14ac:dyDescent="0.35">
      <c r="K776" s="2" t="s">
        <v>519</v>
      </c>
      <c r="L776" s="2" t="s">
        <v>25</v>
      </c>
      <c r="M776" s="2" t="s">
        <v>26</v>
      </c>
      <c r="N776" s="2" t="s">
        <v>192</v>
      </c>
      <c r="O776" s="2" t="s">
        <v>112</v>
      </c>
      <c r="P776" s="2">
        <v>79</v>
      </c>
      <c r="R776" s="43">
        <v>45670</v>
      </c>
      <c r="S776" s="2">
        <v>3</v>
      </c>
      <c r="T776" s="2" t="s">
        <v>519</v>
      </c>
      <c r="U776" s="2" t="s">
        <v>179</v>
      </c>
      <c r="V776" s="2" t="s">
        <v>180</v>
      </c>
      <c r="W776" s="2" t="s">
        <v>194</v>
      </c>
      <c r="X776" s="23">
        <v>31</v>
      </c>
      <c r="Y776" s="23">
        <v>1390</v>
      </c>
      <c r="Z776" s="23">
        <v>3394</v>
      </c>
      <c r="AA776" s="24">
        <v>0.40954625810253298</v>
      </c>
      <c r="AB776" s="14" t="str">
        <f>VLOOKUP(flu_aw24[[#This Row],[trust_code]],trust_lookup[],3,0)</f>
        <v>Marsden</v>
      </c>
    </row>
    <row r="777" spans="11:28" x14ac:dyDescent="0.35">
      <c r="K777" s="2" t="s">
        <v>519</v>
      </c>
      <c r="L777" s="2" t="s">
        <v>25</v>
      </c>
      <c r="M777" s="2" t="s">
        <v>26</v>
      </c>
      <c r="N777" s="2" t="s">
        <v>192</v>
      </c>
      <c r="O777" s="2" t="s">
        <v>36</v>
      </c>
      <c r="P777" s="2">
        <v>83</v>
      </c>
      <c r="R777" s="43">
        <v>45677</v>
      </c>
      <c r="S777" s="2">
        <v>4</v>
      </c>
      <c r="T777" s="2" t="s">
        <v>519</v>
      </c>
      <c r="U777" s="2" t="s">
        <v>179</v>
      </c>
      <c r="V777" s="2" t="s">
        <v>180</v>
      </c>
      <c r="W777" s="2" t="s">
        <v>194</v>
      </c>
      <c r="X777" s="23">
        <v>10</v>
      </c>
      <c r="Y777" s="23">
        <v>1400</v>
      </c>
      <c r="Z777" s="23">
        <v>3394</v>
      </c>
      <c r="AA777" s="24">
        <v>0.412492634060106</v>
      </c>
      <c r="AB777" s="14" t="str">
        <f>VLOOKUP(flu_aw24[[#This Row],[trust_code]],trust_lookup[],3,0)</f>
        <v>Marsden</v>
      </c>
    </row>
    <row r="778" spans="11:28" x14ac:dyDescent="0.35">
      <c r="K778" s="2" t="s">
        <v>519</v>
      </c>
      <c r="L778" s="2" t="s">
        <v>48</v>
      </c>
      <c r="M778" s="2" t="s">
        <v>49</v>
      </c>
      <c r="N778" s="2" t="s">
        <v>192</v>
      </c>
      <c r="O778" s="2" t="s">
        <v>68</v>
      </c>
      <c r="P778" s="2">
        <v>465</v>
      </c>
      <c r="R778" s="43">
        <v>45684</v>
      </c>
      <c r="S778" s="2">
        <v>5</v>
      </c>
      <c r="T778" s="2" t="s">
        <v>519</v>
      </c>
      <c r="U778" s="2" t="s">
        <v>179</v>
      </c>
      <c r="V778" s="2" t="s">
        <v>180</v>
      </c>
      <c r="W778" s="2" t="s">
        <v>194</v>
      </c>
      <c r="X778" s="23">
        <v>4</v>
      </c>
      <c r="Y778" s="23">
        <v>1404</v>
      </c>
      <c r="Z778" s="23">
        <v>3394</v>
      </c>
      <c r="AA778" s="24">
        <v>0.413671184443134</v>
      </c>
      <c r="AB778" s="14" t="str">
        <f>VLOOKUP(flu_aw24[[#This Row],[trust_code]],trust_lookup[],3,0)</f>
        <v>Marsden</v>
      </c>
    </row>
    <row r="779" spans="11:28" x14ac:dyDescent="0.35">
      <c r="K779" s="2" t="s">
        <v>519</v>
      </c>
      <c r="L779" s="2" t="s">
        <v>48</v>
      </c>
      <c r="M779" s="2" t="s">
        <v>49</v>
      </c>
      <c r="N779" s="2" t="s">
        <v>192</v>
      </c>
      <c r="O779" s="2" t="s">
        <v>135</v>
      </c>
      <c r="P779" s="2">
        <v>29</v>
      </c>
      <c r="R779" s="43">
        <v>45691</v>
      </c>
      <c r="S779" s="2">
        <v>6</v>
      </c>
      <c r="T779" s="2" t="s">
        <v>519</v>
      </c>
      <c r="U779" s="2" t="s">
        <v>179</v>
      </c>
      <c r="V779" s="2" t="s">
        <v>180</v>
      </c>
      <c r="W779" s="2" t="s">
        <v>194</v>
      </c>
      <c r="X779" s="23">
        <v>1</v>
      </c>
      <c r="Y779" s="23">
        <v>1405</v>
      </c>
      <c r="Z779" s="23">
        <v>3394</v>
      </c>
      <c r="AA779" s="24">
        <v>0.41396582203889198</v>
      </c>
      <c r="AB779" s="14" t="str">
        <f>VLOOKUP(flu_aw24[[#This Row],[trust_code]],trust_lookup[],3,0)</f>
        <v>Marsden</v>
      </c>
    </row>
    <row r="780" spans="11:28" x14ac:dyDescent="0.35">
      <c r="K780" s="2" t="s">
        <v>519</v>
      </c>
      <c r="L780" s="2" t="s">
        <v>48</v>
      </c>
      <c r="M780" s="2" t="s">
        <v>49</v>
      </c>
      <c r="N780" s="2" t="s">
        <v>192</v>
      </c>
      <c r="O780" s="2" t="s">
        <v>54</v>
      </c>
      <c r="P780" s="2">
        <v>101</v>
      </c>
      <c r="R780" s="43">
        <v>45698</v>
      </c>
      <c r="S780" s="2">
        <v>7</v>
      </c>
      <c r="T780" s="2" t="s">
        <v>519</v>
      </c>
      <c r="U780" s="2" t="s">
        <v>179</v>
      </c>
      <c r="V780" s="2" t="s">
        <v>180</v>
      </c>
      <c r="W780" s="2" t="s">
        <v>194</v>
      </c>
      <c r="X780" s="23">
        <v>1</v>
      </c>
      <c r="Y780" s="23">
        <v>1406</v>
      </c>
      <c r="Z780" s="23">
        <v>3394</v>
      </c>
      <c r="AA780" s="24">
        <v>0.41426045963464903</v>
      </c>
      <c r="AB780" s="14" t="str">
        <f>VLOOKUP(flu_aw24[[#This Row],[trust_code]],trust_lookup[],3,0)</f>
        <v>Marsden</v>
      </c>
    </row>
    <row r="781" spans="11:28" x14ac:dyDescent="0.35">
      <c r="K781" s="2" t="s">
        <v>519</v>
      </c>
      <c r="L781" s="2" t="s">
        <v>48</v>
      </c>
      <c r="M781" s="2" t="s">
        <v>49</v>
      </c>
      <c r="N781" s="2" t="s">
        <v>192</v>
      </c>
      <c r="O781" s="2" t="s">
        <v>129</v>
      </c>
      <c r="P781" s="2">
        <v>8</v>
      </c>
      <c r="R781" s="43">
        <v>45705</v>
      </c>
      <c r="S781" s="2">
        <v>8</v>
      </c>
      <c r="T781" s="2" t="s">
        <v>519</v>
      </c>
      <c r="U781" s="2" t="s">
        <v>179</v>
      </c>
      <c r="V781" s="2" t="s">
        <v>180</v>
      </c>
      <c r="W781" s="2" t="s">
        <v>194</v>
      </c>
      <c r="X781" s="23">
        <v>1</v>
      </c>
      <c r="Y781" s="23">
        <v>1407</v>
      </c>
      <c r="Z781" s="23">
        <v>3394</v>
      </c>
      <c r="AA781" s="24">
        <v>0.41455509723040601</v>
      </c>
      <c r="AB781" s="14" t="str">
        <f>VLOOKUP(flu_aw24[[#This Row],[trust_code]],trust_lookup[],3,0)</f>
        <v>Marsden</v>
      </c>
    </row>
    <row r="782" spans="11:28" x14ac:dyDescent="0.35">
      <c r="K782" s="2" t="s">
        <v>519</v>
      </c>
      <c r="L782" s="2" t="s">
        <v>48</v>
      </c>
      <c r="M782" s="2" t="s">
        <v>49</v>
      </c>
      <c r="N782" s="2" t="s">
        <v>192</v>
      </c>
      <c r="O782" s="2" t="s">
        <v>47</v>
      </c>
      <c r="P782" s="2">
        <v>12</v>
      </c>
      <c r="R782" s="43">
        <v>45719</v>
      </c>
      <c r="S782" s="2">
        <v>10</v>
      </c>
      <c r="T782" s="2" t="s">
        <v>519</v>
      </c>
      <c r="U782" s="2" t="s">
        <v>179</v>
      </c>
      <c r="V782" s="2" t="s">
        <v>180</v>
      </c>
      <c r="W782" s="2" t="s">
        <v>194</v>
      </c>
      <c r="X782" s="23">
        <v>4</v>
      </c>
      <c r="Y782" s="23">
        <v>1411</v>
      </c>
      <c r="Z782" s="23">
        <v>3394</v>
      </c>
      <c r="AA782" s="24">
        <v>0.41573364761343501</v>
      </c>
      <c r="AB782" s="14" t="str">
        <f>VLOOKUP(flu_aw24[[#This Row],[trust_code]],trust_lookup[],3,0)</f>
        <v>Marsden</v>
      </c>
    </row>
    <row r="783" spans="11:28" x14ac:dyDescent="0.35">
      <c r="K783" s="2" t="s">
        <v>519</v>
      </c>
      <c r="L783" s="2" t="s">
        <v>48</v>
      </c>
      <c r="M783" s="2" t="s">
        <v>49</v>
      </c>
      <c r="N783" s="2" t="s">
        <v>192</v>
      </c>
      <c r="O783" s="2" t="s">
        <v>94</v>
      </c>
      <c r="P783" s="2">
        <v>9</v>
      </c>
      <c r="R783" s="43">
        <v>45726</v>
      </c>
      <c r="S783" s="2">
        <v>11</v>
      </c>
      <c r="T783" s="2" t="s">
        <v>519</v>
      </c>
      <c r="U783" s="2" t="s">
        <v>179</v>
      </c>
      <c r="V783" s="2" t="s">
        <v>180</v>
      </c>
      <c r="W783" s="2" t="s">
        <v>194</v>
      </c>
      <c r="X783" s="23">
        <v>1</v>
      </c>
      <c r="Y783" s="23">
        <v>1412</v>
      </c>
      <c r="Z783" s="23">
        <v>3394</v>
      </c>
      <c r="AA783" s="24">
        <v>0.41602828520919199</v>
      </c>
      <c r="AB783" s="14" t="str">
        <f>VLOOKUP(flu_aw24[[#This Row],[trust_code]],trust_lookup[],3,0)</f>
        <v>Marsden</v>
      </c>
    </row>
    <row r="784" spans="11:28" x14ac:dyDescent="0.35">
      <c r="K784" s="2" t="s">
        <v>519</v>
      </c>
      <c r="L784" s="2" t="s">
        <v>48</v>
      </c>
      <c r="M784" s="2" t="s">
        <v>49</v>
      </c>
      <c r="N784" s="2" t="s">
        <v>192</v>
      </c>
      <c r="O784" s="2" t="s">
        <v>29</v>
      </c>
      <c r="P784" s="2">
        <v>18</v>
      </c>
      <c r="R784" s="43">
        <v>45537</v>
      </c>
      <c r="S784" s="2">
        <v>36</v>
      </c>
      <c r="T784" s="2" t="s">
        <v>519</v>
      </c>
      <c r="U784" s="2" t="s">
        <v>182</v>
      </c>
      <c r="V784" s="2" t="s">
        <v>183</v>
      </c>
      <c r="W784" s="2" t="s">
        <v>27</v>
      </c>
      <c r="X784" s="23">
        <v>2</v>
      </c>
      <c r="Y784" s="23">
        <v>2</v>
      </c>
      <c r="Z784" s="23">
        <v>8259</v>
      </c>
      <c r="AA784" s="24">
        <v>2.42160067804819E-4</v>
      </c>
      <c r="AB784" s="14" t="str">
        <f>VLOOKUP(flu_aw24[[#This Row],[trust_code]],trust_lookup[],3,0)</f>
        <v>UCLH</v>
      </c>
    </row>
    <row r="785" spans="11:28" x14ac:dyDescent="0.35">
      <c r="K785" s="2" t="s">
        <v>519</v>
      </c>
      <c r="L785" s="2" t="s">
        <v>48</v>
      </c>
      <c r="M785" s="2" t="s">
        <v>49</v>
      </c>
      <c r="N785" s="2" t="s">
        <v>192</v>
      </c>
      <c r="O785" s="2" t="s">
        <v>123</v>
      </c>
      <c r="P785" s="2">
        <v>114</v>
      </c>
      <c r="R785" s="43">
        <v>45544</v>
      </c>
      <c r="S785" s="2">
        <v>37</v>
      </c>
      <c r="T785" s="2" t="s">
        <v>519</v>
      </c>
      <c r="U785" s="2" t="s">
        <v>182</v>
      </c>
      <c r="V785" s="2" t="s">
        <v>183</v>
      </c>
      <c r="W785" s="2" t="s">
        <v>27</v>
      </c>
      <c r="X785" s="23">
        <v>4</v>
      </c>
      <c r="Y785" s="23">
        <v>6</v>
      </c>
      <c r="Z785" s="23">
        <v>8259</v>
      </c>
      <c r="AA785" s="24">
        <v>7.2648020341445699E-4</v>
      </c>
      <c r="AB785" s="14" t="str">
        <f>VLOOKUP(flu_aw24[[#This Row],[trust_code]],trust_lookup[],3,0)</f>
        <v>UCLH</v>
      </c>
    </row>
    <row r="786" spans="11:28" x14ac:dyDescent="0.35">
      <c r="K786" s="2" t="s">
        <v>519</v>
      </c>
      <c r="L786" s="2" t="s">
        <v>48</v>
      </c>
      <c r="M786" s="2" t="s">
        <v>49</v>
      </c>
      <c r="N786" s="2" t="s">
        <v>192</v>
      </c>
      <c r="O786" s="2" t="s">
        <v>82</v>
      </c>
      <c r="P786" s="2">
        <v>11</v>
      </c>
      <c r="R786" s="43">
        <v>45551</v>
      </c>
      <c r="S786" s="2">
        <v>38</v>
      </c>
      <c r="T786" s="2" t="s">
        <v>519</v>
      </c>
      <c r="U786" s="2" t="s">
        <v>182</v>
      </c>
      <c r="V786" s="2" t="s">
        <v>183</v>
      </c>
      <c r="W786" s="2" t="s">
        <v>27</v>
      </c>
      <c r="X786" s="23">
        <v>11</v>
      </c>
      <c r="Y786" s="23">
        <v>17</v>
      </c>
      <c r="Z786" s="23">
        <v>8259</v>
      </c>
      <c r="AA786" s="24">
        <v>2.0583605763409602E-3</v>
      </c>
      <c r="AB786" s="14" t="str">
        <f>VLOOKUP(flu_aw24[[#This Row],[trust_code]],trust_lookup[],3,0)</f>
        <v>UCLH</v>
      </c>
    </row>
    <row r="787" spans="11:28" x14ac:dyDescent="0.35">
      <c r="K787" s="2" t="s">
        <v>519</v>
      </c>
      <c r="L787" s="2" t="s">
        <v>48</v>
      </c>
      <c r="M787" s="2" t="s">
        <v>49</v>
      </c>
      <c r="N787" s="2" t="s">
        <v>192</v>
      </c>
      <c r="O787" s="2" t="s">
        <v>88</v>
      </c>
      <c r="P787" s="2">
        <v>6</v>
      </c>
      <c r="R787" s="43">
        <v>45558</v>
      </c>
      <c r="S787" s="2">
        <v>39</v>
      </c>
      <c r="T787" s="2" t="s">
        <v>519</v>
      </c>
      <c r="U787" s="2" t="s">
        <v>182</v>
      </c>
      <c r="V787" s="2" t="s">
        <v>183</v>
      </c>
      <c r="W787" s="2" t="s">
        <v>27</v>
      </c>
      <c r="X787" s="23">
        <v>14</v>
      </c>
      <c r="Y787" s="23">
        <v>31</v>
      </c>
      <c r="Z787" s="23">
        <v>8259</v>
      </c>
      <c r="AA787" s="24">
        <v>3.7534810509746901E-3</v>
      </c>
      <c r="AB787" s="14" t="str">
        <f>VLOOKUP(flu_aw24[[#This Row],[trust_code]],trust_lookup[],3,0)</f>
        <v>UCLH</v>
      </c>
    </row>
    <row r="788" spans="11:28" x14ac:dyDescent="0.35">
      <c r="K788" s="2" t="s">
        <v>519</v>
      </c>
      <c r="L788" s="2" t="s">
        <v>48</v>
      </c>
      <c r="M788" s="2" t="s">
        <v>49</v>
      </c>
      <c r="N788" s="2" t="s">
        <v>192</v>
      </c>
      <c r="O788" s="2" t="s">
        <v>141</v>
      </c>
      <c r="P788" s="2">
        <v>125</v>
      </c>
      <c r="R788" s="43">
        <v>45565</v>
      </c>
      <c r="S788" s="2">
        <v>40</v>
      </c>
      <c r="T788" s="2" t="s">
        <v>519</v>
      </c>
      <c r="U788" s="2" t="s">
        <v>182</v>
      </c>
      <c r="V788" s="2" t="s">
        <v>183</v>
      </c>
      <c r="W788" s="2" t="s">
        <v>27</v>
      </c>
      <c r="X788" s="23">
        <v>208</v>
      </c>
      <c r="Y788" s="23">
        <v>239</v>
      </c>
      <c r="Z788" s="23">
        <v>8259</v>
      </c>
      <c r="AA788" s="24">
        <v>2.8938128102675799E-2</v>
      </c>
      <c r="AB788" s="14" t="str">
        <f>VLOOKUP(flu_aw24[[#This Row],[trust_code]],trust_lookup[],3,0)</f>
        <v>UCLH</v>
      </c>
    </row>
    <row r="789" spans="11:28" x14ac:dyDescent="0.35">
      <c r="K789" s="2" t="s">
        <v>519</v>
      </c>
      <c r="L789" s="2" t="s">
        <v>48</v>
      </c>
      <c r="M789" s="2" t="s">
        <v>49</v>
      </c>
      <c r="N789" s="2" t="s">
        <v>192</v>
      </c>
      <c r="O789" s="2" t="s">
        <v>61</v>
      </c>
      <c r="P789" s="2">
        <v>52</v>
      </c>
      <c r="R789" s="43">
        <v>45572</v>
      </c>
      <c r="S789" s="2">
        <v>41</v>
      </c>
      <c r="T789" s="2" t="s">
        <v>519</v>
      </c>
      <c r="U789" s="2" t="s">
        <v>182</v>
      </c>
      <c r="V789" s="2" t="s">
        <v>183</v>
      </c>
      <c r="W789" s="2" t="s">
        <v>27</v>
      </c>
      <c r="X789" s="23">
        <v>419</v>
      </c>
      <c r="Y789" s="23">
        <v>658</v>
      </c>
      <c r="Z789" s="23">
        <v>8259</v>
      </c>
      <c r="AA789" s="24">
        <v>7.9670662307785398E-2</v>
      </c>
      <c r="AB789" s="14" t="str">
        <f>VLOOKUP(flu_aw24[[#This Row],[trust_code]],trust_lookup[],3,0)</f>
        <v>UCLH</v>
      </c>
    </row>
    <row r="790" spans="11:28" x14ac:dyDescent="0.35">
      <c r="K790" s="2" t="s">
        <v>519</v>
      </c>
      <c r="L790" s="2" t="s">
        <v>48</v>
      </c>
      <c r="M790" s="2" t="s">
        <v>49</v>
      </c>
      <c r="N790" s="2" t="s">
        <v>192</v>
      </c>
      <c r="O790" s="2" t="s">
        <v>100</v>
      </c>
      <c r="P790" s="2">
        <v>108</v>
      </c>
      <c r="R790" s="43">
        <v>45579</v>
      </c>
      <c r="S790" s="2">
        <v>42</v>
      </c>
      <c r="T790" s="2" t="s">
        <v>519</v>
      </c>
      <c r="U790" s="2" t="s">
        <v>182</v>
      </c>
      <c r="V790" s="2" t="s">
        <v>183</v>
      </c>
      <c r="W790" s="2" t="s">
        <v>27</v>
      </c>
      <c r="X790" s="23">
        <v>449</v>
      </c>
      <c r="Y790" s="23">
        <v>1107</v>
      </c>
      <c r="Z790" s="23">
        <v>8259</v>
      </c>
      <c r="AA790" s="24">
        <v>0.13403559752996699</v>
      </c>
      <c r="AB790" s="14" t="str">
        <f>VLOOKUP(flu_aw24[[#This Row],[trust_code]],trust_lookup[],3,0)</f>
        <v>UCLH</v>
      </c>
    </row>
    <row r="791" spans="11:28" x14ac:dyDescent="0.35">
      <c r="K791" s="2" t="s">
        <v>519</v>
      </c>
      <c r="L791" s="2" t="s">
        <v>48</v>
      </c>
      <c r="M791" s="2" t="s">
        <v>49</v>
      </c>
      <c r="N791" s="2" t="s">
        <v>192</v>
      </c>
      <c r="O791" s="2" t="s">
        <v>75</v>
      </c>
      <c r="P791" s="2">
        <v>33</v>
      </c>
      <c r="R791" s="43">
        <v>45586</v>
      </c>
      <c r="S791" s="2">
        <v>43</v>
      </c>
      <c r="T791" s="2" t="s">
        <v>519</v>
      </c>
      <c r="U791" s="2" t="s">
        <v>182</v>
      </c>
      <c r="V791" s="2" t="s">
        <v>183</v>
      </c>
      <c r="W791" s="2" t="s">
        <v>27</v>
      </c>
      <c r="X791" s="23">
        <v>283</v>
      </c>
      <c r="Y791" s="23">
        <v>1390</v>
      </c>
      <c r="Z791" s="23">
        <v>8259</v>
      </c>
      <c r="AA791" s="24">
        <v>0.16830124712434899</v>
      </c>
      <c r="AB791" s="14" t="str">
        <f>VLOOKUP(flu_aw24[[#This Row],[trust_code]],trust_lookup[],3,0)</f>
        <v>UCLH</v>
      </c>
    </row>
    <row r="792" spans="11:28" x14ac:dyDescent="0.35">
      <c r="K792" s="2" t="s">
        <v>519</v>
      </c>
      <c r="L792" s="2" t="s">
        <v>48</v>
      </c>
      <c r="M792" s="2" t="s">
        <v>49</v>
      </c>
      <c r="N792" s="2" t="s">
        <v>192</v>
      </c>
      <c r="O792" s="2" t="s">
        <v>106</v>
      </c>
      <c r="P792" s="2">
        <v>11</v>
      </c>
      <c r="R792" s="43">
        <v>45593</v>
      </c>
      <c r="S792" s="2">
        <v>44</v>
      </c>
      <c r="T792" s="2" t="s">
        <v>519</v>
      </c>
      <c r="U792" s="2" t="s">
        <v>182</v>
      </c>
      <c r="V792" s="2" t="s">
        <v>183</v>
      </c>
      <c r="W792" s="2" t="s">
        <v>27</v>
      </c>
      <c r="X792" s="23">
        <v>224</v>
      </c>
      <c r="Y792" s="23">
        <v>1614</v>
      </c>
      <c r="Z792" s="23">
        <v>8259</v>
      </c>
      <c r="AA792" s="24">
        <v>0.195423174718488</v>
      </c>
      <c r="AB792" s="14" t="str">
        <f>VLOOKUP(flu_aw24[[#This Row],[trust_code]],trust_lookup[],3,0)</f>
        <v>UCLH</v>
      </c>
    </row>
    <row r="793" spans="11:28" x14ac:dyDescent="0.35">
      <c r="K793" s="2" t="s">
        <v>519</v>
      </c>
      <c r="L793" s="2" t="s">
        <v>48</v>
      </c>
      <c r="M793" s="2" t="s">
        <v>49</v>
      </c>
      <c r="N793" s="2" t="s">
        <v>192</v>
      </c>
      <c r="O793" s="2" t="s">
        <v>112</v>
      </c>
      <c r="P793" s="2">
        <v>56</v>
      </c>
      <c r="R793" s="43">
        <v>45600</v>
      </c>
      <c r="S793" s="2">
        <v>45</v>
      </c>
      <c r="T793" s="2" t="s">
        <v>519</v>
      </c>
      <c r="U793" s="2" t="s">
        <v>182</v>
      </c>
      <c r="V793" s="2" t="s">
        <v>183</v>
      </c>
      <c r="W793" s="2" t="s">
        <v>27</v>
      </c>
      <c r="X793" s="23">
        <v>212</v>
      </c>
      <c r="Y793" s="23">
        <v>1826</v>
      </c>
      <c r="Z793" s="23">
        <v>8259</v>
      </c>
      <c r="AA793" s="24">
        <v>0.22109214190579901</v>
      </c>
      <c r="AB793" s="14" t="str">
        <f>VLOOKUP(flu_aw24[[#This Row],[trust_code]],trust_lookup[],3,0)</f>
        <v>UCLH</v>
      </c>
    </row>
    <row r="794" spans="11:28" x14ac:dyDescent="0.35">
      <c r="K794" s="2" t="s">
        <v>519</v>
      </c>
      <c r="L794" s="2" t="s">
        <v>48</v>
      </c>
      <c r="M794" s="2" t="s">
        <v>49</v>
      </c>
      <c r="N794" s="2" t="s">
        <v>192</v>
      </c>
      <c r="O794" s="2" t="s">
        <v>36</v>
      </c>
      <c r="P794" s="2">
        <v>57</v>
      </c>
      <c r="R794" s="43">
        <v>45607</v>
      </c>
      <c r="S794" s="2">
        <v>46</v>
      </c>
      <c r="T794" s="2" t="s">
        <v>519</v>
      </c>
      <c r="U794" s="2" t="s">
        <v>182</v>
      </c>
      <c r="V794" s="2" t="s">
        <v>183</v>
      </c>
      <c r="W794" s="2" t="s">
        <v>27</v>
      </c>
      <c r="X794" s="23">
        <v>187</v>
      </c>
      <c r="Y794" s="23">
        <v>2013</v>
      </c>
      <c r="Z794" s="23">
        <v>8259</v>
      </c>
      <c r="AA794" s="24">
        <v>0.24373410824555</v>
      </c>
      <c r="AB794" s="14" t="str">
        <f>VLOOKUP(flu_aw24[[#This Row],[trust_code]],trust_lookup[],3,0)</f>
        <v>UCLH</v>
      </c>
    </row>
    <row r="795" spans="11:28" x14ac:dyDescent="0.35">
      <c r="K795" s="2" t="s">
        <v>519</v>
      </c>
      <c r="L795" s="2" t="s">
        <v>55</v>
      </c>
      <c r="M795" s="2" t="s">
        <v>56</v>
      </c>
      <c r="N795" s="2" t="s">
        <v>192</v>
      </c>
      <c r="O795" s="2" t="s">
        <v>68</v>
      </c>
      <c r="P795" s="2">
        <v>590</v>
      </c>
      <c r="R795" s="43">
        <v>45614</v>
      </c>
      <c r="S795" s="2">
        <v>47</v>
      </c>
      <c r="T795" s="2" t="s">
        <v>519</v>
      </c>
      <c r="U795" s="2" t="s">
        <v>182</v>
      </c>
      <c r="V795" s="2" t="s">
        <v>183</v>
      </c>
      <c r="W795" s="2" t="s">
        <v>27</v>
      </c>
      <c r="X795" s="23">
        <v>197</v>
      </c>
      <c r="Y795" s="23">
        <v>2210</v>
      </c>
      <c r="Z795" s="23">
        <v>8259</v>
      </c>
      <c r="AA795" s="24">
        <v>0.26758687492432498</v>
      </c>
      <c r="AB795" s="14" t="str">
        <f>VLOOKUP(flu_aw24[[#This Row],[trust_code]],trust_lookup[],3,0)</f>
        <v>UCLH</v>
      </c>
    </row>
    <row r="796" spans="11:28" x14ac:dyDescent="0.35">
      <c r="K796" s="2" t="s">
        <v>519</v>
      </c>
      <c r="L796" s="2" t="s">
        <v>55</v>
      </c>
      <c r="M796" s="2" t="s">
        <v>56</v>
      </c>
      <c r="N796" s="2" t="s">
        <v>192</v>
      </c>
      <c r="O796" s="2" t="s">
        <v>135</v>
      </c>
      <c r="P796" s="2">
        <v>36</v>
      </c>
      <c r="R796" s="43">
        <v>45621</v>
      </c>
      <c r="S796" s="2">
        <v>48</v>
      </c>
      <c r="T796" s="2" t="s">
        <v>519</v>
      </c>
      <c r="U796" s="2" t="s">
        <v>182</v>
      </c>
      <c r="V796" s="2" t="s">
        <v>183</v>
      </c>
      <c r="W796" s="2" t="s">
        <v>27</v>
      </c>
      <c r="X796" s="23">
        <v>173</v>
      </c>
      <c r="Y796" s="23">
        <v>2383</v>
      </c>
      <c r="Z796" s="23">
        <v>8259</v>
      </c>
      <c r="AA796" s="24">
        <v>0.28853372078944101</v>
      </c>
      <c r="AB796" s="14" t="str">
        <f>VLOOKUP(flu_aw24[[#This Row],[trust_code]],trust_lookup[],3,0)</f>
        <v>UCLH</v>
      </c>
    </row>
    <row r="797" spans="11:28" x14ac:dyDescent="0.35">
      <c r="K797" s="2" t="s">
        <v>519</v>
      </c>
      <c r="L797" s="2" t="s">
        <v>55</v>
      </c>
      <c r="M797" s="2" t="s">
        <v>56</v>
      </c>
      <c r="N797" s="2" t="s">
        <v>192</v>
      </c>
      <c r="O797" s="2" t="s">
        <v>54</v>
      </c>
      <c r="P797" s="2">
        <v>216</v>
      </c>
      <c r="R797" s="43">
        <v>45628</v>
      </c>
      <c r="S797" s="2">
        <v>49</v>
      </c>
      <c r="T797" s="2" t="s">
        <v>519</v>
      </c>
      <c r="U797" s="2" t="s">
        <v>182</v>
      </c>
      <c r="V797" s="2" t="s">
        <v>183</v>
      </c>
      <c r="W797" s="2" t="s">
        <v>27</v>
      </c>
      <c r="X797" s="23">
        <v>201</v>
      </c>
      <c r="Y797" s="23">
        <v>2584</v>
      </c>
      <c r="Z797" s="23">
        <v>8259</v>
      </c>
      <c r="AA797" s="24">
        <v>0.31287080760382602</v>
      </c>
      <c r="AB797" s="14" t="str">
        <f>VLOOKUP(flu_aw24[[#This Row],[trust_code]],trust_lookup[],3,0)</f>
        <v>UCLH</v>
      </c>
    </row>
    <row r="798" spans="11:28" x14ac:dyDescent="0.35">
      <c r="K798" s="2" t="s">
        <v>519</v>
      </c>
      <c r="L798" s="2" t="s">
        <v>55</v>
      </c>
      <c r="M798" s="2" t="s">
        <v>56</v>
      </c>
      <c r="N798" s="2" t="s">
        <v>192</v>
      </c>
      <c r="O798" s="2" t="s">
        <v>129</v>
      </c>
      <c r="P798" s="2">
        <v>11</v>
      </c>
      <c r="R798" s="43">
        <v>45635</v>
      </c>
      <c r="S798" s="2">
        <v>50</v>
      </c>
      <c r="T798" s="2" t="s">
        <v>519</v>
      </c>
      <c r="U798" s="2" t="s">
        <v>182</v>
      </c>
      <c r="V798" s="2" t="s">
        <v>183</v>
      </c>
      <c r="W798" s="2" t="s">
        <v>27</v>
      </c>
      <c r="X798" s="23">
        <v>159</v>
      </c>
      <c r="Y798" s="23">
        <v>2743</v>
      </c>
      <c r="Z798" s="23">
        <v>8259</v>
      </c>
      <c r="AA798" s="24">
        <v>0.33212253299430899</v>
      </c>
      <c r="AB798" s="14" t="str">
        <f>VLOOKUP(flu_aw24[[#This Row],[trust_code]],trust_lookup[],3,0)</f>
        <v>UCLH</v>
      </c>
    </row>
    <row r="799" spans="11:28" x14ac:dyDescent="0.35">
      <c r="K799" s="2" t="s">
        <v>519</v>
      </c>
      <c r="L799" s="2" t="s">
        <v>55</v>
      </c>
      <c r="M799" s="2" t="s">
        <v>56</v>
      </c>
      <c r="N799" s="2" t="s">
        <v>192</v>
      </c>
      <c r="O799" s="2" t="s">
        <v>47</v>
      </c>
      <c r="P799" s="2">
        <v>4</v>
      </c>
      <c r="R799" s="43">
        <v>45642</v>
      </c>
      <c r="S799" s="2">
        <v>51</v>
      </c>
      <c r="T799" s="2" t="s">
        <v>519</v>
      </c>
      <c r="U799" s="2" t="s">
        <v>182</v>
      </c>
      <c r="V799" s="2" t="s">
        <v>183</v>
      </c>
      <c r="W799" s="2" t="s">
        <v>27</v>
      </c>
      <c r="X799" s="23">
        <v>147</v>
      </c>
      <c r="Y799" s="23">
        <v>2890</v>
      </c>
      <c r="Z799" s="23">
        <v>8259</v>
      </c>
      <c r="AA799" s="24">
        <v>0.34992129797796301</v>
      </c>
      <c r="AB799" s="14" t="str">
        <f>VLOOKUP(flu_aw24[[#This Row],[trust_code]],trust_lookup[],3,0)</f>
        <v>UCLH</v>
      </c>
    </row>
    <row r="800" spans="11:28" x14ac:dyDescent="0.35">
      <c r="K800" s="2" t="s">
        <v>519</v>
      </c>
      <c r="L800" s="2" t="s">
        <v>55</v>
      </c>
      <c r="M800" s="2" t="s">
        <v>56</v>
      </c>
      <c r="N800" s="2" t="s">
        <v>192</v>
      </c>
      <c r="O800" s="2" t="s">
        <v>94</v>
      </c>
      <c r="P800" s="2">
        <v>14</v>
      </c>
      <c r="R800" s="43">
        <v>45649</v>
      </c>
      <c r="S800" s="2">
        <v>52</v>
      </c>
      <c r="T800" s="2" t="s">
        <v>519</v>
      </c>
      <c r="U800" s="2" t="s">
        <v>182</v>
      </c>
      <c r="V800" s="2" t="s">
        <v>183</v>
      </c>
      <c r="W800" s="2" t="s">
        <v>27</v>
      </c>
      <c r="X800" s="23">
        <v>11</v>
      </c>
      <c r="Y800" s="23">
        <v>2901</v>
      </c>
      <c r="Z800" s="23">
        <v>8259</v>
      </c>
      <c r="AA800" s="24">
        <v>0.35125317835088898</v>
      </c>
      <c r="AB800" s="14" t="str">
        <f>VLOOKUP(flu_aw24[[#This Row],[trust_code]],trust_lookup[],3,0)</f>
        <v>UCLH</v>
      </c>
    </row>
    <row r="801" spans="11:28" x14ac:dyDescent="0.35">
      <c r="K801" s="2" t="s">
        <v>519</v>
      </c>
      <c r="L801" s="2" t="s">
        <v>55</v>
      </c>
      <c r="M801" s="2" t="s">
        <v>56</v>
      </c>
      <c r="N801" s="2" t="s">
        <v>192</v>
      </c>
      <c r="O801" s="2" t="s">
        <v>29</v>
      </c>
      <c r="P801" s="2">
        <v>33</v>
      </c>
      <c r="R801" s="43">
        <v>45656</v>
      </c>
      <c r="S801" s="2">
        <v>1</v>
      </c>
      <c r="T801" s="2" t="s">
        <v>519</v>
      </c>
      <c r="U801" s="2" t="s">
        <v>182</v>
      </c>
      <c r="V801" s="2" t="s">
        <v>183</v>
      </c>
      <c r="W801" s="2" t="s">
        <v>27</v>
      </c>
      <c r="X801" s="23">
        <v>10</v>
      </c>
      <c r="Y801" s="23">
        <v>2911</v>
      </c>
      <c r="Z801" s="23">
        <v>8259</v>
      </c>
      <c r="AA801" s="24">
        <v>0.35246397868991403</v>
      </c>
      <c r="AB801" s="14" t="str">
        <f>VLOOKUP(flu_aw24[[#This Row],[trust_code]],trust_lookup[],3,0)</f>
        <v>UCLH</v>
      </c>
    </row>
    <row r="802" spans="11:28" x14ac:dyDescent="0.35">
      <c r="K802" s="2" t="s">
        <v>519</v>
      </c>
      <c r="L802" s="2" t="s">
        <v>55</v>
      </c>
      <c r="M802" s="2" t="s">
        <v>56</v>
      </c>
      <c r="N802" s="2" t="s">
        <v>192</v>
      </c>
      <c r="O802" s="2" t="s">
        <v>123</v>
      </c>
      <c r="P802" s="2">
        <v>116</v>
      </c>
      <c r="R802" s="43">
        <v>45663</v>
      </c>
      <c r="S802" s="2">
        <v>2</v>
      </c>
      <c r="T802" s="2" t="s">
        <v>519</v>
      </c>
      <c r="U802" s="2" t="s">
        <v>182</v>
      </c>
      <c r="V802" s="2" t="s">
        <v>183</v>
      </c>
      <c r="W802" s="2" t="s">
        <v>27</v>
      </c>
      <c r="X802" s="23">
        <v>107</v>
      </c>
      <c r="Y802" s="23">
        <v>3018</v>
      </c>
      <c r="Z802" s="23">
        <v>8259</v>
      </c>
      <c r="AA802" s="24">
        <v>0.36541954231747098</v>
      </c>
      <c r="AB802" s="14" t="str">
        <f>VLOOKUP(flu_aw24[[#This Row],[trust_code]],trust_lookup[],3,0)</f>
        <v>UCLH</v>
      </c>
    </row>
    <row r="803" spans="11:28" x14ac:dyDescent="0.35">
      <c r="K803" s="2" t="s">
        <v>519</v>
      </c>
      <c r="L803" s="2" t="s">
        <v>55</v>
      </c>
      <c r="M803" s="2" t="s">
        <v>56</v>
      </c>
      <c r="N803" s="2" t="s">
        <v>192</v>
      </c>
      <c r="O803" s="2" t="s">
        <v>82</v>
      </c>
      <c r="P803" s="2">
        <v>16</v>
      </c>
      <c r="R803" s="43">
        <v>45670</v>
      </c>
      <c r="S803" s="2">
        <v>3</v>
      </c>
      <c r="T803" s="2" t="s">
        <v>519</v>
      </c>
      <c r="U803" s="2" t="s">
        <v>182</v>
      </c>
      <c r="V803" s="2" t="s">
        <v>183</v>
      </c>
      <c r="W803" s="2" t="s">
        <v>27</v>
      </c>
      <c r="X803" s="23">
        <v>90</v>
      </c>
      <c r="Y803" s="23">
        <v>3108</v>
      </c>
      <c r="Z803" s="23">
        <v>8259</v>
      </c>
      <c r="AA803" s="24">
        <v>0.37631674536868798</v>
      </c>
      <c r="AB803" s="14" t="str">
        <f>VLOOKUP(flu_aw24[[#This Row],[trust_code]],trust_lookup[],3,0)</f>
        <v>UCLH</v>
      </c>
    </row>
    <row r="804" spans="11:28" x14ac:dyDescent="0.35">
      <c r="K804" s="2" t="s">
        <v>519</v>
      </c>
      <c r="L804" s="2" t="s">
        <v>55</v>
      </c>
      <c r="M804" s="2" t="s">
        <v>56</v>
      </c>
      <c r="N804" s="2" t="s">
        <v>192</v>
      </c>
      <c r="O804" s="2" t="s">
        <v>88</v>
      </c>
      <c r="P804" s="2">
        <v>14</v>
      </c>
      <c r="R804" s="43">
        <v>45677</v>
      </c>
      <c r="S804" s="2">
        <v>4</v>
      </c>
      <c r="T804" s="2" t="s">
        <v>519</v>
      </c>
      <c r="U804" s="2" t="s">
        <v>182</v>
      </c>
      <c r="V804" s="2" t="s">
        <v>183</v>
      </c>
      <c r="W804" s="2" t="s">
        <v>27</v>
      </c>
      <c r="X804" s="23">
        <v>45</v>
      </c>
      <c r="Y804" s="23">
        <v>3153</v>
      </c>
      <c r="Z804" s="23">
        <v>8259</v>
      </c>
      <c r="AA804" s="24">
        <v>0.38176534689429698</v>
      </c>
      <c r="AB804" s="14" t="str">
        <f>VLOOKUP(flu_aw24[[#This Row],[trust_code]],trust_lookup[],3,0)</f>
        <v>UCLH</v>
      </c>
    </row>
    <row r="805" spans="11:28" x14ac:dyDescent="0.35">
      <c r="K805" s="2" t="s">
        <v>519</v>
      </c>
      <c r="L805" s="2" t="s">
        <v>55</v>
      </c>
      <c r="M805" s="2" t="s">
        <v>56</v>
      </c>
      <c r="N805" s="2" t="s">
        <v>192</v>
      </c>
      <c r="O805" s="2" t="s">
        <v>141</v>
      </c>
      <c r="P805" s="2">
        <v>273</v>
      </c>
      <c r="R805" s="43">
        <v>45684</v>
      </c>
      <c r="S805" s="2">
        <v>5</v>
      </c>
      <c r="T805" s="2" t="s">
        <v>519</v>
      </c>
      <c r="U805" s="2" t="s">
        <v>182</v>
      </c>
      <c r="V805" s="2" t="s">
        <v>183</v>
      </c>
      <c r="W805" s="2" t="s">
        <v>27</v>
      </c>
      <c r="X805" s="23">
        <v>26</v>
      </c>
      <c r="Y805" s="23">
        <v>3179</v>
      </c>
      <c r="Z805" s="23">
        <v>8259</v>
      </c>
      <c r="AA805" s="24">
        <v>0.38491342777575899</v>
      </c>
      <c r="AB805" s="14" t="str">
        <f>VLOOKUP(flu_aw24[[#This Row],[trust_code]],trust_lookup[],3,0)</f>
        <v>UCLH</v>
      </c>
    </row>
    <row r="806" spans="11:28" x14ac:dyDescent="0.35">
      <c r="K806" s="2" t="s">
        <v>519</v>
      </c>
      <c r="L806" s="2" t="s">
        <v>55</v>
      </c>
      <c r="M806" s="2" t="s">
        <v>56</v>
      </c>
      <c r="N806" s="2" t="s">
        <v>192</v>
      </c>
      <c r="O806" s="2" t="s">
        <v>61</v>
      </c>
      <c r="P806" s="2">
        <v>18</v>
      </c>
      <c r="R806" s="43">
        <v>45691</v>
      </c>
      <c r="S806" s="2">
        <v>6</v>
      </c>
      <c r="T806" s="2" t="s">
        <v>519</v>
      </c>
      <c r="U806" s="2" t="s">
        <v>182</v>
      </c>
      <c r="V806" s="2" t="s">
        <v>183</v>
      </c>
      <c r="W806" s="2" t="s">
        <v>27</v>
      </c>
      <c r="X806" s="23">
        <v>11</v>
      </c>
      <c r="Y806" s="23">
        <v>3190</v>
      </c>
      <c r="Z806" s="23">
        <v>8259</v>
      </c>
      <c r="AA806" s="24">
        <v>0.38624530814868602</v>
      </c>
      <c r="AB806" s="14" t="str">
        <f>VLOOKUP(flu_aw24[[#This Row],[trust_code]],trust_lookup[],3,0)</f>
        <v>UCLH</v>
      </c>
    </row>
    <row r="807" spans="11:28" x14ac:dyDescent="0.35">
      <c r="K807" s="2" t="s">
        <v>519</v>
      </c>
      <c r="L807" s="2" t="s">
        <v>55</v>
      </c>
      <c r="M807" s="2" t="s">
        <v>56</v>
      </c>
      <c r="N807" s="2" t="s">
        <v>192</v>
      </c>
      <c r="O807" s="2" t="s">
        <v>100</v>
      </c>
      <c r="P807" s="2">
        <v>112</v>
      </c>
      <c r="R807" s="43">
        <v>45698</v>
      </c>
      <c r="S807" s="2">
        <v>7</v>
      </c>
      <c r="T807" s="2" t="s">
        <v>519</v>
      </c>
      <c r="U807" s="2" t="s">
        <v>182</v>
      </c>
      <c r="V807" s="2" t="s">
        <v>183</v>
      </c>
      <c r="W807" s="2" t="s">
        <v>27</v>
      </c>
      <c r="X807" s="23">
        <v>6</v>
      </c>
      <c r="Y807" s="23">
        <v>3196</v>
      </c>
      <c r="Z807" s="23">
        <v>8259</v>
      </c>
      <c r="AA807" s="24">
        <v>0.3869717883521</v>
      </c>
      <c r="AB807" s="14" t="str">
        <f>VLOOKUP(flu_aw24[[#This Row],[trust_code]],trust_lookup[],3,0)</f>
        <v>UCLH</v>
      </c>
    </row>
    <row r="808" spans="11:28" x14ac:dyDescent="0.35">
      <c r="K808" s="2" t="s">
        <v>519</v>
      </c>
      <c r="L808" s="2" t="s">
        <v>55</v>
      </c>
      <c r="M808" s="2" t="s">
        <v>56</v>
      </c>
      <c r="N808" s="2" t="s">
        <v>192</v>
      </c>
      <c r="O808" s="2" t="s">
        <v>75</v>
      </c>
      <c r="P808" s="2">
        <v>34</v>
      </c>
      <c r="R808" s="43">
        <v>45705</v>
      </c>
      <c r="S808" s="2">
        <v>8</v>
      </c>
      <c r="T808" s="2" t="s">
        <v>519</v>
      </c>
      <c r="U808" s="2" t="s">
        <v>182</v>
      </c>
      <c r="V808" s="2" t="s">
        <v>183</v>
      </c>
      <c r="W808" s="2" t="s">
        <v>27</v>
      </c>
      <c r="X808" s="23">
        <v>3</v>
      </c>
      <c r="Y808" s="23">
        <v>3199</v>
      </c>
      <c r="Z808" s="23">
        <v>8259</v>
      </c>
      <c r="AA808" s="24">
        <v>0.38733502845380702</v>
      </c>
      <c r="AB808" s="14" t="str">
        <f>VLOOKUP(flu_aw24[[#This Row],[trust_code]],trust_lookup[],3,0)</f>
        <v>UCLH</v>
      </c>
    </row>
    <row r="809" spans="11:28" x14ac:dyDescent="0.35">
      <c r="K809" s="2" t="s">
        <v>519</v>
      </c>
      <c r="L809" s="2" t="s">
        <v>55</v>
      </c>
      <c r="M809" s="2" t="s">
        <v>56</v>
      </c>
      <c r="N809" s="2" t="s">
        <v>192</v>
      </c>
      <c r="O809" s="2" t="s">
        <v>106</v>
      </c>
      <c r="P809" s="2">
        <v>30</v>
      </c>
      <c r="R809" s="43">
        <v>45712</v>
      </c>
      <c r="S809" s="2">
        <v>9</v>
      </c>
      <c r="T809" s="2" t="s">
        <v>519</v>
      </c>
      <c r="U809" s="2" t="s">
        <v>182</v>
      </c>
      <c r="V809" s="2" t="s">
        <v>183</v>
      </c>
      <c r="W809" s="2" t="s">
        <v>27</v>
      </c>
      <c r="X809" s="23">
        <v>3</v>
      </c>
      <c r="Y809" s="23">
        <v>3202</v>
      </c>
      <c r="Z809" s="23">
        <v>8259</v>
      </c>
      <c r="AA809" s="24">
        <v>0.38769826855551498</v>
      </c>
      <c r="AB809" s="14" t="str">
        <f>VLOOKUP(flu_aw24[[#This Row],[trust_code]],trust_lookup[],3,0)</f>
        <v>UCLH</v>
      </c>
    </row>
    <row r="810" spans="11:28" x14ac:dyDescent="0.35">
      <c r="K810" s="2" t="s">
        <v>519</v>
      </c>
      <c r="L810" s="2" t="s">
        <v>55</v>
      </c>
      <c r="M810" s="2" t="s">
        <v>56</v>
      </c>
      <c r="N810" s="2" t="s">
        <v>192</v>
      </c>
      <c r="O810" s="2" t="s">
        <v>112</v>
      </c>
      <c r="P810" s="2">
        <v>146</v>
      </c>
      <c r="R810" s="43">
        <v>45719</v>
      </c>
      <c r="S810" s="2">
        <v>10</v>
      </c>
      <c r="T810" s="2" t="s">
        <v>519</v>
      </c>
      <c r="U810" s="2" t="s">
        <v>182</v>
      </c>
      <c r="V810" s="2" t="s">
        <v>183</v>
      </c>
      <c r="W810" s="2" t="s">
        <v>27</v>
      </c>
      <c r="X810" s="23">
        <v>3</v>
      </c>
      <c r="Y810" s="23">
        <v>3205</v>
      </c>
      <c r="Z810" s="23">
        <v>8259</v>
      </c>
      <c r="AA810" s="24">
        <v>0.388061508657222</v>
      </c>
      <c r="AB810" s="14" t="str">
        <f>VLOOKUP(flu_aw24[[#This Row],[trust_code]],trust_lookup[],3,0)</f>
        <v>UCLH</v>
      </c>
    </row>
    <row r="811" spans="11:28" x14ac:dyDescent="0.35">
      <c r="K811" s="2" t="s">
        <v>519</v>
      </c>
      <c r="L811" s="2" t="s">
        <v>55</v>
      </c>
      <c r="M811" s="2" t="s">
        <v>56</v>
      </c>
      <c r="N811" s="2" t="s">
        <v>192</v>
      </c>
      <c r="O811" s="2" t="s">
        <v>36</v>
      </c>
      <c r="P811" s="2">
        <v>106</v>
      </c>
      <c r="R811" s="43">
        <v>45537</v>
      </c>
      <c r="S811" s="2">
        <v>36</v>
      </c>
      <c r="T811" s="2" t="s">
        <v>519</v>
      </c>
      <c r="U811" s="2" t="s">
        <v>187</v>
      </c>
      <c r="V811" s="2" t="s">
        <v>188</v>
      </c>
      <c r="W811" s="2" t="s">
        <v>192</v>
      </c>
      <c r="X811" s="23">
        <v>3</v>
      </c>
      <c r="Y811" s="23">
        <v>3</v>
      </c>
      <c r="Z811" s="23">
        <v>4258</v>
      </c>
      <c r="AA811" s="24">
        <v>7.0455612963832705E-4</v>
      </c>
      <c r="AB811" s="14" t="str">
        <f>VLOOKUP(flu_aw24[[#This Row],[trust_code]],trust_lookup[],3,0)</f>
        <v>West London</v>
      </c>
    </row>
    <row r="812" spans="11:28" x14ac:dyDescent="0.35">
      <c r="K812" s="2" t="s">
        <v>519</v>
      </c>
      <c r="L812" s="2" t="s">
        <v>101</v>
      </c>
      <c r="M812" s="2" t="s">
        <v>102</v>
      </c>
      <c r="N812" s="2" t="s">
        <v>192</v>
      </c>
      <c r="O812" s="2" t="s">
        <v>68</v>
      </c>
      <c r="P812" s="2">
        <v>1008</v>
      </c>
      <c r="R812" s="43">
        <v>45544</v>
      </c>
      <c r="S812" s="2">
        <v>37</v>
      </c>
      <c r="T812" s="2" t="s">
        <v>519</v>
      </c>
      <c r="U812" s="2" t="s">
        <v>187</v>
      </c>
      <c r="V812" s="2" t="s">
        <v>188</v>
      </c>
      <c r="W812" s="2" t="s">
        <v>192</v>
      </c>
      <c r="X812" s="23">
        <v>1</v>
      </c>
      <c r="Y812" s="23">
        <v>4</v>
      </c>
      <c r="Z812" s="23">
        <v>4258</v>
      </c>
      <c r="AA812" s="24">
        <v>9.3940817285110298E-4</v>
      </c>
      <c r="AB812" s="14" t="str">
        <f>VLOOKUP(flu_aw24[[#This Row],[trust_code]],trust_lookup[],3,0)</f>
        <v>West London</v>
      </c>
    </row>
    <row r="813" spans="11:28" x14ac:dyDescent="0.35">
      <c r="K813" s="2" t="s">
        <v>519</v>
      </c>
      <c r="L813" s="2" t="s">
        <v>101</v>
      </c>
      <c r="M813" s="2" t="s">
        <v>102</v>
      </c>
      <c r="N813" s="2" t="s">
        <v>192</v>
      </c>
      <c r="O813" s="2" t="s">
        <v>135</v>
      </c>
      <c r="P813" s="2">
        <v>70</v>
      </c>
      <c r="R813" s="43">
        <v>45551</v>
      </c>
      <c r="S813" s="2">
        <v>38</v>
      </c>
      <c r="T813" s="2" t="s">
        <v>519</v>
      </c>
      <c r="U813" s="2" t="s">
        <v>187</v>
      </c>
      <c r="V813" s="2" t="s">
        <v>188</v>
      </c>
      <c r="W813" s="2" t="s">
        <v>192</v>
      </c>
      <c r="X813" s="23">
        <v>5</v>
      </c>
      <c r="Y813" s="23">
        <v>9</v>
      </c>
      <c r="Z813" s="23">
        <v>4258</v>
      </c>
      <c r="AA813" s="24">
        <v>2.1136683889149801E-3</v>
      </c>
      <c r="AB813" s="14" t="str">
        <f>VLOOKUP(flu_aw24[[#This Row],[trust_code]],trust_lookup[],3,0)</f>
        <v>West London</v>
      </c>
    </row>
    <row r="814" spans="11:28" x14ac:dyDescent="0.35">
      <c r="K814" s="2" t="s">
        <v>519</v>
      </c>
      <c r="L814" s="2" t="s">
        <v>101</v>
      </c>
      <c r="M814" s="2" t="s">
        <v>102</v>
      </c>
      <c r="N814" s="2" t="s">
        <v>192</v>
      </c>
      <c r="O814" s="2" t="s">
        <v>54</v>
      </c>
      <c r="P814" s="2">
        <v>427</v>
      </c>
      <c r="R814" s="43">
        <v>45558</v>
      </c>
      <c r="S814" s="2">
        <v>39</v>
      </c>
      <c r="T814" s="2" t="s">
        <v>519</v>
      </c>
      <c r="U814" s="2" t="s">
        <v>187</v>
      </c>
      <c r="V814" s="2" t="s">
        <v>188</v>
      </c>
      <c r="W814" s="2" t="s">
        <v>192</v>
      </c>
      <c r="X814" s="23">
        <v>3</v>
      </c>
      <c r="Y814" s="23">
        <v>12</v>
      </c>
      <c r="Z814" s="23">
        <v>4258</v>
      </c>
      <c r="AA814" s="24">
        <v>2.8182245185533099E-3</v>
      </c>
      <c r="AB814" s="14" t="str">
        <f>VLOOKUP(flu_aw24[[#This Row],[trust_code]],trust_lookup[],3,0)</f>
        <v>West London</v>
      </c>
    </row>
    <row r="815" spans="11:28" x14ac:dyDescent="0.35">
      <c r="K815" s="2" t="s">
        <v>519</v>
      </c>
      <c r="L815" s="2" t="s">
        <v>101</v>
      </c>
      <c r="M815" s="2" t="s">
        <v>102</v>
      </c>
      <c r="N815" s="2" t="s">
        <v>192</v>
      </c>
      <c r="O815" s="2" t="s">
        <v>129</v>
      </c>
      <c r="P815" s="2">
        <v>12</v>
      </c>
      <c r="R815" s="43">
        <v>45565</v>
      </c>
      <c r="S815" s="2">
        <v>40</v>
      </c>
      <c r="T815" s="2" t="s">
        <v>519</v>
      </c>
      <c r="U815" s="2" t="s">
        <v>187</v>
      </c>
      <c r="V815" s="2" t="s">
        <v>188</v>
      </c>
      <c r="W815" s="2" t="s">
        <v>192</v>
      </c>
      <c r="X815" s="23">
        <v>88</v>
      </c>
      <c r="Y815" s="23">
        <v>100</v>
      </c>
      <c r="Z815" s="23">
        <v>4258</v>
      </c>
      <c r="AA815" s="24">
        <v>2.34852043212775E-2</v>
      </c>
      <c r="AB815" s="14" t="str">
        <f>VLOOKUP(flu_aw24[[#This Row],[trust_code]],trust_lookup[],3,0)</f>
        <v>West London</v>
      </c>
    </row>
    <row r="816" spans="11:28" x14ac:dyDescent="0.35">
      <c r="K816" s="2" t="s">
        <v>519</v>
      </c>
      <c r="L816" s="2" t="s">
        <v>101</v>
      </c>
      <c r="M816" s="2" t="s">
        <v>102</v>
      </c>
      <c r="N816" s="2" t="s">
        <v>192</v>
      </c>
      <c r="O816" s="2" t="s">
        <v>47</v>
      </c>
      <c r="P816" s="2">
        <v>18</v>
      </c>
      <c r="R816" s="43">
        <v>45572</v>
      </c>
      <c r="S816" s="2">
        <v>41</v>
      </c>
      <c r="T816" s="2" t="s">
        <v>519</v>
      </c>
      <c r="U816" s="2" t="s">
        <v>187</v>
      </c>
      <c r="V816" s="2" t="s">
        <v>188</v>
      </c>
      <c r="W816" s="2" t="s">
        <v>192</v>
      </c>
      <c r="X816" s="23">
        <v>331</v>
      </c>
      <c r="Y816" s="23">
        <v>431</v>
      </c>
      <c r="Z816" s="23">
        <v>4258</v>
      </c>
      <c r="AA816" s="24">
        <v>0.101221230624706</v>
      </c>
      <c r="AB816" s="14" t="str">
        <f>VLOOKUP(flu_aw24[[#This Row],[trust_code]],trust_lookup[],3,0)</f>
        <v>West London</v>
      </c>
    </row>
    <row r="817" spans="11:28" x14ac:dyDescent="0.35">
      <c r="K817" s="2" t="s">
        <v>519</v>
      </c>
      <c r="L817" s="2" t="s">
        <v>101</v>
      </c>
      <c r="M817" s="2" t="s">
        <v>102</v>
      </c>
      <c r="N817" s="2" t="s">
        <v>192</v>
      </c>
      <c r="O817" s="2" t="s">
        <v>94</v>
      </c>
      <c r="P817" s="2">
        <v>32</v>
      </c>
      <c r="R817" s="43">
        <v>45579</v>
      </c>
      <c r="S817" s="2">
        <v>42</v>
      </c>
      <c r="T817" s="2" t="s">
        <v>519</v>
      </c>
      <c r="U817" s="2" t="s">
        <v>187</v>
      </c>
      <c r="V817" s="2" t="s">
        <v>188</v>
      </c>
      <c r="W817" s="2" t="s">
        <v>192</v>
      </c>
      <c r="X817" s="23">
        <v>185</v>
      </c>
      <c r="Y817" s="23">
        <v>616</v>
      </c>
      <c r="Z817" s="23">
        <v>4258</v>
      </c>
      <c r="AA817" s="24">
        <v>0.144668858619069</v>
      </c>
      <c r="AB817" s="14" t="str">
        <f>VLOOKUP(flu_aw24[[#This Row],[trust_code]],trust_lookup[],3,0)</f>
        <v>West London</v>
      </c>
    </row>
    <row r="818" spans="11:28" x14ac:dyDescent="0.35">
      <c r="K818" s="2" t="s">
        <v>519</v>
      </c>
      <c r="L818" s="2" t="s">
        <v>101</v>
      </c>
      <c r="M818" s="2" t="s">
        <v>102</v>
      </c>
      <c r="N818" s="2" t="s">
        <v>192</v>
      </c>
      <c r="O818" s="2" t="s">
        <v>29</v>
      </c>
      <c r="P818" s="2">
        <v>55</v>
      </c>
      <c r="R818" s="43">
        <v>45586</v>
      </c>
      <c r="S818" s="2">
        <v>43</v>
      </c>
      <c r="T818" s="2" t="s">
        <v>519</v>
      </c>
      <c r="U818" s="2" t="s">
        <v>187</v>
      </c>
      <c r="V818" s="2" t="s">
        <v>188</v>
      </c>
      <c r="W818" s="2" t="s">
        <v>192</v>
      </c>
      <c r="X818" s="23">
        <v>128</v>
      </c>
      <c r="Y818" s="23">
        <v>744</v>
      </c>
      <c r="Z818" s="23">
        <v>4258</v>
      </c>
      <c r="AA818" s="24">
        <v>0.174729920150305</v>
      </c>
      <c r="AB818" s="14" t="str">
        <f>VLOOKUP(flu_aw24[[#This Row],[trust_code]],trust_lookup[],3,0)</f>
        <v>West London</v>
      </c>
    </row>
    <row r="819" spans="11:28" x14ac:dyDescent="0.35">
      <c r="K819" s="2" t="s">
        <v>519</v>
      </c>
      <c r="L819" s="2" t="s">
        <v>101</v>
      </c>
      <c r="M819" s="2" t="s">
        <v>102</v>
      </c>
      <c r="N819" s="2" t="s">
        <v>192</v>
      </c>
      <c r="O819" s="2" t="s">
        <v>123</v>
      </c>
      <c r="P819" s="2">
        <v>366</v>
      </c>
      <c r="R819" s="43">
        <v>45593</v>
      </c>
      <c r="S819" s="2">
        <v>44</v>
      </c>
      <c r="T819" s="2" t="s">
        <v>519</v>
      </c>
      <c r="U819" s="2" t="s">
        <v>187</v>
      </c>
      <c r="V819" s="2" t="s">
        <v>188</v>
      </c>
      <c r="W819" s="2" t="s">
        <v>192</v>
      </c>
      <c r="X819" s="23">
        <v>83</v>
      </c>
      <c r="Y819" s="23">
        <v>827</v>
      </c>
      <c r="Z819" s="23">
        <v>4258</v>
      </c>
      <c r="AA819" s="24">
        <v>0.19422263973696499</v>
      </c>
      <c r="AB819" s="14" t="str">
        <f>VLOOKUP(flu_aw24[[#This Row],[trust_code]],trust_lookup[],3,0)</f>
        <v>West London</v>
      </c>
    </row>
    <row r="820" spans="11:28" x14ac:dyDescent="0.35">
      <c r="K820" s="2" t="s">
        <v>519</v>
      </c>
      <c r="L820" s="2" t="s">
        <v>101</v>
      </c>
      <c r="M820" s="2" t="s">
        <v>102</v>
      </c>
      <c r="N820" s="2" t="s">
        <v>192</v>
      </c>
      <c r="O820" s="2" t="s">
        <v>82</v>
      </c>
      <c r="P820" s="2">
        <v>43</v>
      </c>
      <c r="R820" s="43">
        <v>45600</v>
      </c>
      <c r="S820" s="2">
        <v>45</v>
      </c>
      <c r="T820" s="2" t="s">
        <v>519</v>
      </c>
      <c r="U820" s="2" t="s">
        <v>187</v>
      </c>
      <c r="V820" s="2" t="s">
        <v>188</v>
      </c>
      <c r="W820" s="2" t="s">
        <v>192</v>
      </c>
      <c r="X820" s="23">
        <v>97</v>
      </c>
      <c r="Y820" s="23">
        <v>924</v>
      </c>
      <c r="Z820" s="23">
        <v>4258</v>
      </c>
      <c r="AA820" s="24">
        <v>0.21700328792860499</v>
      </c>
      <c r="AB820" s="14" t="str">
        <f>VLOOKUP(flu_aw24[[#This Row],[trust_code]],trust_lookup[],3,0)</f>
        <v>West London</v>
      </c>
    </row>
    <row r="821" spans="11:28" x14ac:dyDescent="0.35">
      <c r="K821" s="2" t="s">
        <v>519</v>
      </c>
      <c r="L821" s="2" t="s">
        <v>101</v>
      </c>
      <c r="M821" s="2" t="s">
        <v>102</v>
      </c>
      <c r="N821" s="2" t="s">
        <v>192</v>
      </c>
      <c r="O821" s="2" t="s">
        <v>88</v>
      </c>
      <c r="P821" s="2">
        <v>17</v>
      </c>
      <c r="R821" s="43">
        <v>45607</v>
      </c>
      <c r="S821" s="2">
        <v>46</v>
      </c>
      <c r="T821" s="2" t="s">
        <v>519</v>
      </c>
      <c r="U821" s="2" t="s">
        <v>187</v>
      </c>
      <c r="V821" s="2" t="s">
        <v>188</v>
      </c>
      <c r="W821" s="2" t="s">
        <v>192</v>
      </c>
      <c r="X821" s="23">
        <v>77</v>
      </c>
      <c r="Y821" s="23">
        <v>1001</v>
      </c>
      <c r="Z821" s="23">
        <v>4258</v>
      </c>
      <c r="AA821" s="24">
        <v>0.235086895255988</v>
      </c>
      <c r="AB821" s="14" t="str">
        <f>VLOOKUP(flu_aw24[[#This Row],[trust_code]],trust_lookup[],3,0)</f>
        <v>West London</v>
      </c>
    </row>
    <row r="822" spans="11:28" x14ac:dyDescent="0.35">
      <c r="K822" s="2" t="s">
        <v>519</v>
      </c>
      <c r="L822" s="2" t="s">
        <v>101</v>
      </c>
      <c r="M822" s="2" t="s">
        <v>102</v>
      </c>
      <c r="N822" s="2" t="s">
        <v>192</v>
      </c>
      <c r="O822" s="2" t="s">
        <v>141</v>
      </c>
      <c r="P822" s="2">
        <v>581</v>
      </c>
      <c r="R822" s="43">
        <v>45614</v>
      </c>
      <c r="S822" s="2">
        <v>47</v>
      </c>
      <c r="T822" s="2" t="s">
        <v>519</v>
      </c>
      <c r="U822" s="2" t="s">
        <v>187</v>
      </c>
      <c r="V822" s="2" t="s">
        <v>188</v>
      </c>
      <c r="W822" s="2" t="s">
        <v>192</v>
      </c>
      <c r="X822" s="23">
        <v>46</v>
      </c>
      <c r="Y822" s="23">
        <v>1047</v>
      </c>
      <c r="Z822" s="23">
        <v>4258</v>
      </c>
      <c r="AA822" s="24">
        <v>0.24589008924377601</v>
      </c>
      <c r="AB822" s="14" t="str">
        <f>VLOOKUP(flu_aw24[[#This Row],[trust_code]],trust_lookup[],3,0)</f>
        <v>West London</v>
      </c>
    </row>
    <row r="823" spans="11:28" x14ac:dyDescent="0.35">
      <c r="K823" s="2" t="s">
        <v>519</v>
      </c>
      <c r="L823" s="2" t="s">
        <v>101</v>
      </c>
      <c r="M823" s="2" t="s">
        <v>102</v>
      </c>
      <c r="N823" s="2" t="s">
        <v>192</v>
      </c>
      <c r="O823" s="2" t="s">
        <v>61</v>
      </c>
      <c r="P823" s="2">
        <v>46</v>
      </c>
      <c r="R823" s="43">
        <v>45621</v>
      </c>
      <c r="S823" s="2">
        <v>48</v>
      </c>
      <c r="T823" s="2" t="s">
        <v>519</v>
      </c>
      <c r="U823" s="2" t="s">
        <v>187</v>
      </c>
      <c r="V823" s="2" t="s">
        <v>188</v>
      </c>
      <c r="W823" s="2" t="s">
        <v>192</v>
      </c>
      <c r="X823" s="23">
        <v>22</v>
      </c>
      <c r="Y823" s="23">
        <v>1069</v>
      </c>
      <c r="Z823" s="23">
        <v>4258</v>
      </c>
      <c r="AA823" s="24">
        <v>0.25105683419445701</v>
      </c>
      <c r="AB823" s="14" t="str">
        <f>VLOOKUP(flu_aw24[[#This Row],[trust_code]],trust_lookup[],3,0)</f>
        <v>West London</v>
      </c>
    </row>
    <row r="824" spans="11:28" x14ac:dyDescent="0.35">
      <c r="K824" s="2" t="s">
        <v>519</v>
      </c>
      <c r="L824" s="2" t="s">
        <v>101</v>
      </c>
      <c r="M824" s="2" t="s">
        <v>102</v>
      </c>
      <c r="N824" s="2" t="s">
        <v>192</v>
      </c>
      <c r="O824" s="2" t="s">
        <v>100</v>
      </c>
      <c r="P824" s="2">
        <v>246</v>
      </c>
      <c r="R824" s="43">
        <v>45628</v>
      </c>
      <c r="S824" s="2">
        <v>49</v>
      </c>
      <c r="T824" s="2" t="s">
        <v>519</v>
      </c>
      <c r="U824" s="2" t="s">
        <v>187</v>
      </c>
      <c r="V824" s="2" t="s">
        <v>188</v>
      </c>
      <c r="W824" s="2" t="s">
        <v>192</v>
      </c>
      <c r="X824" s="23">
        <v>27</v>
      </c>
      <c r="Y824" s="23">
        <v>1096</v>
      </c>
      <c r="Z824" s="23">
        <v>4258</v>
      </c>
      <c r="AA824" s="24">
        <v>0.25739783936120197</v>
      </c>
      <c r="AB824" s="14" t="str">
        <f>VLOOKUP(flu_aw24[[#This Row],[trust_code]],trust_lookup[],3,0)</f>
        <v>West London</v>
      </c>
    </row>
    <row r="825" spans="11:28" x14ac:dyDescent="0.35">
      <c r="K825" s="2" t="s">
        <v>519</v>
      </c>
      <c r="L825" s="2" t="s">
        <v>101</v>
      </c>
      <c r="M825" s="2" t="s">
        <v>102</v>
      </c>
      <c r="N825" s="2" t="s">
        <v>192</v>
      </c>
      <c r="O825" s="2" t="s">
        <v>75</v>
      </c>
      <c r="P825" s="2">
        <v>67</v>
      </c>
      <c r="R825" s="43">
        <v>45635</v>
      </c>
      <c r="S825" s="2">
        <v>50</v>
      </c>
      <c r="T825" s="2" t="s">
        <v>519</v>
      </c>
      <c r="U825" s="2" t="s">
        <v>187</v>
      </c>
      <c r="V825" s="2" t="s">
        <v>188</v>
      </c>
      <c r="W825" s="2" t="s">
        <v>192</v>
      </c>
      <c r="X825" s="23">
        <v>36</v>
      </c>
      <c r="Y825" s="23">
        <v>1132</v>
      </c>
      <c r="Z825" s="23">
        <v>4258</v>
      </c>
      <c r="AA825" s="24">
        <v>0.26585251291686202</v>
      </c>
      <c r="AB825" s="14" t="str">
        <f>VLOOKUP(flu_aw24[[#This Row],[trust_code]],trust_lookup[],3,0)</f>
        <v>West London</v>
      </c>
    </row>
    <row r="826" spans="11:28" x14ac:dyDescent="0.35">
      <c r="K826" s="2" t="s">
        <v>519</v>
      </c>
      <c r="L826" s="2" t="s">
        <v>101</v>
      </c>
      <c r="M826" s="2" t="s">
        <v>102</v>
      </c>
      <c r="N826" s="2" t="s">
        <v>192</v>
      </c>
      <c r="O826" s="2" t="s">
        <v>106</v>
      </c>
      <c r="P826" s="2">
        <v>65</v>
      </c>
      <c r="R826" s="43">
        <v>45642</v>
      </c>
      <c r="S826" s="2">
        <v>51</v>
      </c>
      <c r="T826" s="2" t="s">
        <v>519</v>
      </c>
      <c r="U826" s="2" t="s">
        <v>187</v>
      </c>
      <c r="V826" s="2" t="s">
        <v>188</v>
      </c>
      <c r="W826" s="2" t="s">
        <v>192</v>
      </c>
      <c r="X826" s="23">
        <v>41</v>
      </c>
      <c r="Y826" s="23">
        <v>1173</v>
      </c>
      <c r="Z826" s="23">
        <v>4258</v>
      </c>
      <c r="AA826" s="24">
        <v>0.27548144668858598</v>
      </c>
      <c r="AB826" s="14" t="str">
        <f>VLOOKUP(flu_aw24[[#This Row],[trust_code]],trust_lookup[],3,0)</f>
        <v>West London</v>
      </c>
    </row>
    <row r="827" spans="11:28" x14ac:dyDescent="0.35">
      <c r="K827" s="2" t="s">
        <v>519</v>
      </c>
      <c r="L827" s="2" t="s">
        <v>101</v>
      </c>
      <c r="M827" s="2" t="s">
        <v>102</v>
      </c>
      <c r="N827" s="2" t="s">
        <v>192</v>
      </c>
      <c r="O827" s="2" t="s">
        <v>112</v>
      </c>
      <c r="P827" s="2">
        <v>352</v>
      </c>
      <c r="R827" s="43">
        <v>45649</v>
      </c>
      <c r="S827" s="2">
        <v>52</v>
      </c>
      <c r="T827" s="2" t="s">
        <v>519</v>
      </c>
      <c r="U827" s="2" t="s">
        <v>187</v>
      </c>
      <c r="V827" s="2" t="s">
        <v>188</v>
      </c>
      <c r="W827" s="2" t="s">
        <v>192</v>
      </c>
      <c r="X827" s="23">
        <v>4</v>
      </c>
      <c r="Y827" s="23">
        <v>1177</v>
      </c>
      <c r="Z827" s="23">
        <v>4258</v>
      </c>
      <c r="AA827" s="24">
        <v>0.27642085486143703</v>
      </c>
      <c r="AB827" s="14" t="str">
        <f>VLOOKUP(flu_aw24[[#This Row],[trust_code]],trust_lookup[],3,0)</f>
        <v>West London</v>
      </c>
    </row>
    <row r="828" spans="11:28" x14ac:dyDescent="0.35">
      <c r="K828" s="2" t="s">
        <v>519</v>
      </c>
      <c r="L828" s="2" t="s">
        <v>101</v>
      </c>
      <c r="M828" s="2" t="s">
        <v>102</v>
      </c>
      <c r="N828" s="2" t="s">
        <v>192</v>
      </c>
      <c r="O828" s="2" t="s">
        <v>36</v>
      </c>
      <c r="P828" s="2">
        <v>190</v>
      </c>
      <c r="R828" s="43">
        <v>45656</v>
      </c>
      <c r="S828" s="2">
        <v>1</v>
      </c>
      <c r="T828" s="2" t="s">
        <v>519</v>
      </c>
      <c r="U828" s="2" t="s">
        <v>187</v>
      </c>
      <c r="V828" s="2" t="s">
        <v>188</v>
      </c>
      <c r="W828" s="2" t="s">
        <v>192</v>
      </c>
      <c r="X828" s="23">
        <v>10</v>
      </c>
      <c r="Y828" s="23">
        <v>1187</v>
      </c>
      <c r="Z828" s="23">
        <v>4258</v>
      </c>
      <c r="AA828" s="24">
        <v>0.27876937529356499</v>
      </c>
      <c r="AB828" s="14" t="str">
        <f>VLOOKUP(flu_aw24[[#This Row],[trust_code]],trust_lookup[],3,0)</f>
        <v>West London</v>
      </c>
    </row>
    <row r="829" spans="11:28" x14ac:dyDescent="0.35">
      <c r="K829" s="2" t="s">
        <v>519</v>
      </c>
      <c r="L829" s="2" t="s">
        <v>124</v>
      </c>
      <c r="M829" s="2" t="s">
        <v>125</v>
      </c>
      <c r="N829" s="2" t="s">
        <v>192</v>
      </c>
      <c r="O829" s="2" t="s">
        <v>68</v>
      </c>
      <c r="P829" s="2">
        <v>1092</v>
      </c>
      <c r="R829" s="43">
        <v>45663</v>
      </c>
      <c r="S829" s="2">
        <v>2</v>
      </c>
      <c r="T829" s="2" t="s">
        <v>519</v>
      </c>
      <c r="U829" s="2" t="s">
        <v>187</v>
      </c>
      <c r="V829" s="2" t="s">
        <v>188</v>
      </c>
      <c r="W829" s="2" t="s">
        <v>192</v>
      </c>
      <c r="X829" s="23">
        <v>24</v>
      </c>
      <c r="Y829" s="23">
        <v>1211</v>
      </c>
      <c r="Z829" s="23">
        <v>4258</v>
      </c>
      <c r="AA829" s="24">
        <v>0.28440582433067102</v>
      </c>
      <c r="AB829" s="14" t="str">
        <f>VLOOKUP(flu_aw24[[#This Row],[trust_code]],trust_lookup[],3,0)</f>
        <v>West London</v>
      </c>
    </row>
    <row r="830" spans="11:28" x14ac:dyDescent="0.35">
      <c r="K830" s="2" t="s">
        <v>519</v>
      </c>
      <c r="L830" s="2" t="s">
        <v>124</v>
      </c>
      <c r="M830" s="2" t="s">
        <v>125</v>
      </c>
      <c r="N830" s="2" t="s">
        <v>192</v>
      </c>
      <c r="O830" s="2" t="s">
        <v>135</v>
      </c>
      <c r="P830" s="2">
        <v>29</v>
      </c>
      <c r="R830" s="43">
        <v>45670</v>
      </c>
      <c r="S830" s="2">
        <v>3</v>
      </c>
      <c r="T830" s="2" t="s">
        <v>519</v>
      </c>
      <c r="U830" s="2" t="s">
        <v>187</v>
      </c>
      <c r="V830" s="2" t="s">
        <v>188</v>
      </c>
      <c r="W830" s="2" t="s">
        <v>192</v>
      </c>
      <c r="X830" s="23">
        <v>9</v>
      </c>
      <c r="Y830" s="23">
        <v>1220</v>
      </c>
      <c r="Z830" s="23">
        <v>4258</v>
      </c>
      <c r="AA830" s="24">
        <v>0.28651949271958599</v>
      </c>
      <c r="AB830" s="14" t="str">
        <f>VLOOKUP(flu_aw24[[#This Row],[trust_code]],trust_lookup[],3,0)</f>
        <v>West London</v>
      </c>
    </row>
    <row r="831" spans="11:28" x14ac:dyDescent="0.35">
      <c r="K831" s="2" t="s">
        <v>519</v>
      </c>
      <c r="L831" s="2" t="s">
        <v>124</v>
      </c>
      <c r="M831" s="2" t="s">
        <v>125</v>
      </c>
      <c r="N831" s="2" t="s">
        <v>192</v>
      </c>
      <c r="O831" s="2" t="s">
        <v>54</v>
      </c>
      <c r="P831" s="2">
        <v>174</v>
      </c>
      <c r="R831" s="43">
        <v>45677</v>
      </c>
      <c r="S831" s="2">
        <v>4</v>
      </c>
      <c r="T831" s="2" t="s">
        <v>519</v>
      </c>
      <c r="U831" s="2" t="s">
        <v>187</v>
      </c>
      <c r="V831" s="2" t="s">
        <v>188</v>
      </c>
      <c r="W831" s="2" t="s">
        <v>192</v>
      </c>
      <c r="X831" s="23">
        <v>16</v>
      </c>
      <c r="Y831" s="23">
        <v>1236</v>
      </c>
      <c r="Z831" s="23">
        <v>4258</v>
      </c>
      <c r="AA831" s="24">
        <v>0.29027712541099099</v>
      </c>
      <c r="AB831" s="14" t="str">
        <f>VLOOKUP(flu_aw24[[#This Row],[trust_code]],trust_lookup[],3,0)</f>
        <v>West London</v>
      </c>
    </row>
    <row r="832" spans="11:28" x14ac:dyDescent="0.35">
      <c r="K832" s="2" t="s">
        <v>519</v>
      </c>
      <c r="L832" s="2" t="s">
        <v>124</v>
      </c>
      <c r="M832" s="2" t="s">
        <v>125</v>
      </c>
      <c r="N832" s="2" t="s">
        <v>192</v>
      </c>
      <c r="O832" s="2" t="s">
        <v>129</v>
      </c>
      <c r="P832" s="2">
        <v>9</v>
      </c>
      <c r="R832" s="43">
        <v>45684</v>
      </c>
      <c r="S832" s="2">
        <v>5</v>
      </c>
      <c r="T832" s="2" t="s">
        <v>519</v>
      </c>
      <c r="U832" s="2" t="s">
        <v>187</v>
      </c>
      <c r="V832" s="2" t="s">
        <v>188</v>
      </c>
      <c r="W832" s="2" t="s">
        <v>192</v>
      </c>
      <c r="X832" s="23">
        <v>3</v>
      </c>
      <c r="Y832" s="23">
        <v>1239</v>
      </c>
      <c r="Z832" s="23">
        <v>4258</v>
      </c>
      <c r="AA832" s="24">
        <v>0.29098168154062898</v>
      </c>
      <c r="AB832" s="14" t="str">
        <f>VLOOKUP(flu_aw24[[#This Row],[trust_code]],trust_lookup[],3,0)</f>
        <v>West London</v>
      </c>
    </row>
    <row r="833" spans="11:28" x14ac:dyDescent="0.35">
      <c r="K833" s="2" t="s">
        <v>519</v>
      </c>
      <c r="L833" s="2" t="s">
        <v>124</v>
      </c>
      <c r="M833" s="2" t="s">
        <v>125</v>
      </c>
      <c r="N833" s="2" t="s">
        <v>192</v>
      </c>
      <c r="O833" s="2" t="s">
        <v>47</v>
      </c>
      <c r="P833" s="2">
        <v>4</v>
      </c>
      <c r="R833" s="43">
        <v>45691</v>
      </c>
      <c r="S833" s="2">
        <v>6</v>
      </c>
      <c r="T833" s="2" t="s">
        <v>519</v>
      </c>
      <c r="U833" s="2" t="s">
        <v>187</v>
      </c>
      <c r="V833" s="2" t="s">
        <v>188</v>
      </c>
      <c r="W833" s="2" t="s">
        <v>192</v>
      </c>
      <c r="X833" s="23">
        <v>1</v>
      </c>
      <c r="Y833" s="23">
        <v>1240</v>
      </c>
      <c r="Z833" s="23">
        <v>4258</v>
      </c>
      <c r="AA833" s="24">
        <v>0.29121653358384197</v>
      </c>
      <c r="AB833" s="14" t="str">
        <f>VLOOKUP(flu_aw24[[#This Row],[trust_code]],trust_lookup[],3,0)</f>
        <v>West London</v>
      </c>
    </row>
    <row r="834" spans="11:28" x14ac:dyDescent="0.35">
      <c r="K834" s="2" t="s">
        <v>519</v>
      </c>
      <c r="L834" s="2" t="s">
        <v>124</v>
      </c>
      <c r="M834" s="2" t="s">
        <v>125</v>
      </c>
      <c r="N834" s="2" t="s">
        <v>192</v>
      </c>
      <c r="O834" s="2" t="s">
        <v>94</v>
      </c>
      <c r="P834" s="2">
        <v>4</v>
      </c>
      <c r="R834" s="43">
        <v>45705</v>
      </c>
      <c r="S834" s="2">
        <v>8</v>
      </c>
      <c r="T834" s="2" t="s">
        <v>519</v>
      </c>
      <c r="U834" s="2" t="s">
        <v>187</v>
      </c>
      <c r="V834" s="2" t="s">
        <v>188</v>
      </c>
      <c r="W834" s="2" t="s">
        <v>192</v>
      </c>
      <c r="X834" s="23">
        <v>2</v>
      </c>
      <c r="Y834" s="23">
        <v>1242</v>
      </c>
      <c r="Z834" s="23">
        <v>4258</v>
      </c>
      <c r="AA834" s="24">
        <v>0.29168623767026702</v>
      </c>
      <c r="AB834" s="14" t="str">
        <f>VLOOKUP(flu_aw24[[#This Row],[trust_code]],trust_lookup[],3,0)</f>
        <v>West London</v>
      </c>
    </row>
    <row r="835" spans="11:28" x14ac:dyDescent="0.35">
      <c r="K835" s="2" t="s">
        <v>519</v>
      </c>
      <c r="L835" s="2" t="s">
        <v>124</v>
      </c>
      <c r="M835" s="2" t="s">
        <v>125</v>
      </c>
      <c r="N835" s="2" t="s">
        <v>192</v>
      </c>
      <c r="O835" s="2" t="s">
        <v>29</v>
      </c>
      <c r="P835" s="2">
        <v>19</v>
      </c>
      <c r="R835" s="43">
        <v>45712</v>
      </c>
      <c r="S835" s="2">
        <v>9</v>
      </c>
      <c r="T835" s="2" t="s">
        <v>519</v>
      </c>
      <c r="U835" s="2" t="s">
        <v>187</v>
      </c>
      <c r="V835" s="2" t="s">
        <v>188</v>
      </c>
      <c r="W835" s="2" t="s">
        <v>192</v>
      </c>
      <c r="X835" s="23">
        <v>1</v>
      </c>
      <c r="Y835" s="23">
        <v>1243</v>
      </c>
      <c r="Z835" s="23">
        <v>4258</v>
      </c>
      <c r="AA835" s="24">
        <v>0.29192108971348002</v>
      </c>
      <c r="AB835" s="14" t="str">
        <f>VLOOKUP(flu_aw24[[#This Row],[trust_code]],trust_lookup[],3,0)</f>
        <v>West London</v>
      </c>
    </row>
    <row r="836" spans="11:28" x14ac:dyDescent="0.35">
      <c r="K836" s="2" t="s">
        <v>519</v>
      </c>
      <c r="L836" s="2" t="s">
        <v>124</v>
      </c>
      <c r="M836" s="2" t="s">
        <v>125</v>
      </c>
      <c r="N836" s="2" t="s">
        <v>192</v>
      </c>
      <c r="O836" s="2" t="s">
        <v>123</v>
      </c>
      <c r="P836" s="2">
        <v>13</v>
      </c>
      <c r="R836" s="43">
        <v>45719</v>
      </c>
      <c r="S836" s="2">
        <v>10</v>
      </c>
      <c r="T836" s="2" t="s">
        <v>519</v>
      </c>
      <c r="U836" s="2" t="s">
        <v>187</v>
      </c>
      <c r="V836" s="2" t="s">
        <v>188</v>
      </c>
      <c r="W836" s="2" t="s">
        <v>192</v>
      </c>
      <c r="X836" s="23">
        <v>2</v>
      </c>
      <c r="Y836" s="23">
        <v>1245</v>
      </c>
      <c r="Z836" s="23">
        <v>4258</v>
      </c>
      <c r="AA836" s="24">
        <v>0.29239079379990601</v>
      </c>
      <c r="AB836" s="14" t="str">
        <f>VLOOKUP(flu_aw24[[#This Row],[trust_code]],trust_lookup[],3,0)</f>
        <v>West London</v>
      </c>
    </row>
    <row r="837" spans="11:28" x14ac:dyDescent="0.35">
      <c r="K837" s="2" t="s">
        <v>519</v>
      </c>
      <c r="L837" s="2" t="s">
        <v>124</v>
      </c>
      <c r="M837" s="2" t="s">
        <v>125</v>
      </c>
      <c r="N837" s="2" t="s">
        <v>192</v>
      </c>
      <c r="O837" s="2" t="s">
        <v>82</v>
      </c>
      <c r="P837" s="2">
        <v>3</v>
      </c>
      <c r="R837" s="43">
        <v>45733</v>
      </c>
      <c r="S837" s="2">
        <v>12</v>
      </c>
      <c r="T837" s="2" t="s">
        <v>519</v>
      </c>
      <c r="U837" s="2" t="s">
        <v>187</v>
      </c>
      <c r="V837" s="2" t="s">
        <v>188</v>
      </c>
      <c r="W837" s="2" t="s">
        <v>192</v>
      </c>
      <c r="X837" s="23">
        <v>1</v>
      </c>
      <c r="Y837" s="23">
        <v>1246</v>
      </c>
      <c r="Z837" s="23">
        <v>4258</v>
      </c>
      <c r="AA837" s="24">
        <v>0.29262564584311801</v>
      </c>
      <c r="AB837" s="14" t="str">
        <f>VLOOKUP(flu_aw24[[#This Row],[trust_code]],trust_lookup[],3,0)</f>
        <v>West London</v>
      </c>
    </row>
    <row r="838" spans="11:28" x14ac:dyDescent="0.35">
      <c r="K838" s="2" t="s">
        <v>519</v>
      </c>
      <c r="L838" s="2" t="s">
        <v>124</v>
      </c>
      <c r="M838" s="2" t="s">
        <v>125</v>
      </c>
      <c r="N838" s="2" t="s">
        <v>192</v>
      </c>
      <c r="O838" s="2" t="s">
        <v>88</v>
      </c>
      <c r="P838" s="2">
        <v>4</v>
      </c>
      <c r="R838" s="43">
        <v>45544</v>
      </c>
      <c r="S838" s="2">
        <v>37</v>
      </c>
      <c r="T838" s="2" t="s">
        <v>519</v>
      </c>
      <c r="U838" s="2" t="s">
        <v>185</v>
      </c>
      <c r="V838" s="2" t="s">
        <v>186</v>
      </c>
      <c r="W838" s="2" t="s">
        <v>27</v>
      </c>
      <c r="X838" s="23">
        <v>1</v>
      </c>
      <c r="Y838" s="23">
        <v>1</v>
      </c>
      <c r="Z838" s="23">
        <v>2969</v>
      </c>
      <c r="AA838" s="24">
        <v>3.3681374200067302E-4</v>
      </c>
      <c r="AB838" s="14" t="str">
        <f>VLOOKUP(flu_aw24[[#This Row],[trust_code]],trust_lookup[],3,0)</f>
        <v>Whittington</v>
      </c>
    </row>
    <row r="839" spans="11:28" x14ac:dyDescent="0.35">
      <c r="K839" s="2" t="s">
        <v>519</v>
      </c>
      <c r="L839" s="2" t="s">
        <v>124</v>
      </c>
      <c r="M839" s="2" t="s">
        <v>125</v>
      </c>
      <c r="N839" s="2" t="s">
        <v>192</v>
      </c>
      <c r="O839" s="2" t="s">
        <v>141</v>
      </c>
      <c r="P839" s="2">
        <v>18</v>
      </c>
      <c r="R839" s="43">
        <v>45551</v>
      </c>
      <c r="S839" s="2">
        <v>38</v>
      </c>
      <c r="T839" s="2" t="s">
        <v>519</v>
      </c>
      <c r="U839" s="2" t="s">
        <v>185</v>
      </c>
      <c r="V839" s="2" t="s">
        <v>186</v>
      </c>
      <c r="W839" s="2" t="s">
        <v>27</v>
      </c>
      <c r="X839" s="23">
        <v>4</v>
      </c>
      <c r="Y839" s="23">
        <v>5</v>
      </c>
      <c r="Z839" s="23">
        <v>2969</v>
      </c>
      <c r="AA839" s="24">
        <v>1.6840687100033601E-3</v>
      </c>
      <c r="AB839" s="14" t="str">
        <f>VLOOKUP(flu_aw24[[#This Row],[trust_code]],trust_lookup[],3,0)</f>
        <v>Whittington</v>
      </c>
    </row>
    <row r="840" spans="11:28" x14ac:dyDescent="0.35">
      <c r="K840" s="2" t="s">
        <v>519</v>
      </c>
      <c r="L840" s="2" t="s">
        <v>124</v>
      </c>
      <c r="M840" s="2" t="s">
        <v>125</v>
      </c>
      <c r="N840" s="2" t="s">
        <v>192</v>
      </c>
      <c r="O840" s="2" t="s">
        <v>61</v>
      </c>
      <c r="P840" s="2">
        <v>10</v>
      </c>
      <c r="R840" s="43">
        <v>45558</v>
      </c>
      <c r="S840" s="2">
        <v>39</v>
      </c>
      <c r="T840" s="2" t="s">
        <v>519</v>
      </c>
      <c r="U840" s="2" t="s">
        <v>185</v>
      </c>
      <c r="V840" s="2" t="s">
        <v>186</v>
      </c>
      <c r="W840" s="2" t="s">
        <v>27</v>
      </c>
      <c r="X840" s="23">
        <v>4</v>
      </c>
      <c r="Y840" s="23">
        <v>9</v>
      </c>
      <c r="Z840" s="23">
        <v>2969</v>
      </c>
      <c r="AA840" s="24">
        <v>3.03132367800606E-3</v>
      </c>
      <c r="AB840" s="14" t="str">
        <f>VLOOKUP(flu_aw24[[#This Row],[trust_code]],trust_lookup[],3,0)</f>
        <v>Whittington</v>
      </c>
    </row>
    <row r="841" spans="11:28" x14ac:dyDescent="0.35">
      <c r="K841" s="2" t="s">
        <v>519</v>
      </c>
      <c r="L841" s="2" t="s">
        <v>124</v>
      </c>
      <c r="M841" s="2" t="s">
        <v>125</v>
      </c>
      <c r="N841" s="2" t="s">
        <v>192</v>
      </c>
      <c r="O841" s="2" t="s">
        <v>100</v>
      </c>
      <c r="P841" s="2">
        <v>16</v>
      </c>
      <c r="R841" s="43">
        <v>45565</v>
      </c>
      <c r="S841" s="2">
        <v>40</v>
      </c>
      <c r="T841" s="2" t="s">
        <v>519</v>
      </c>
      <c r="U841" s="2" t="s">
        <v>185</v>
      </c>
      <c r="V841" s="2" t="s">
        <v>186</v>
      </c>
      <c r="W841" s="2" t="s">
        <v>27</v>
      </c>
      <c r="X841" s="23">
        <v>81</v>
      </c>
      <c r="Y841" s="23">
        <v>90</v>
      </c>
      <c r="Z841" s="23">
        <v>2969</v>
      </c>
      <c r="AA841" s="24">
        <v>3.03132367800606E-2</v>
      </c>
      <c r="AB841" s="14" t="str">
        <f>VLOOKUP(flu_aw24[[#This Row],[trust_code]],trust_lookup[],3,0)</f>
        <v>Whittington</v>
      </c>
    </row>
    <row r="842" spans="11:28" x14ac:dyDescent="0.35">
      <c r="K842" s="2" t="s">
        <v>519</v>
      </c>
      <c r="L842" s="2" t="s">
        <v>124</v>
      </c>
      <c r="M842" s="2" t="s">
        <v>125</v>
      </c>
      <c r="N842" s="2" t="s">
        <v>192</v>
      </c>
      <c r="O842" s="2" t="s">
        <v>75</v>
      </c>
      <c r="P842" s="2">
        <v>4</v>
      </c>
      <c r="R842" s="43">
        <v>45572</v>
      </c>
      <c r="S842" s="2">
        <v>41</v>
      </c>
      <c r="T842" s="2" t="s">
        <v>519</v>
      </c>
      <c r="U842" s="2" t="s">
        <v>185</v>
      </c>
      <c r="V842" s="2" t="s">
        <v>186</v>
      </c>
      <c r="W842" s="2" t="s">
        <v>27</v>
      </c>
      <c r="X842" s="23">
        <v>139</v>
      </c>
      <c r="Y842" s="23">
        <v>229</v>
      </c>
      <c r="Z842" s="23">
        <v>2969</v>
      </c>
      <c r="AA842" s="24">
        <v>7.7130346918154194E-2</v>
      </c>
      <c r="AB842" s="14" t="str">
        <f>VLOOKUP(flu_aw24[[#This Row],[trust_code]],trust_lookup[],3,0)</f>
        <v>Whittington</v>
      </c>
    </row>
    <row r="843" spans="11:28" x14ac:dyDescent="0.35">
      <c r="K843" s="2" t="s">
        <v>519</v>
      </c>
      <c r="L843" s="2" t="s">
        <v>124</v>
      </c>
      <c r="M843" s="2" t="s">
        <v>125</v>
      </c>
      <c r="N843" s="2" t="s">
        <v>192</v>
      </c>
      <c r="O843" s="2" t="s">
        <v>106</v>
      </c>
      <c r="P843" s="2">
        <v>3</v>
      </c>
      <c r="R843" s="43">
        <v>45579</v>
      </c>
      <c r="S843" s="2">
        <v>42</v>
      </c>
      <c r="T843" s="2" t="s">
        <v>519</v>
      </c>
      <c r="U843" s="2" t="s">
        <v>185</v>
      </c>
      <c r="V843" s="2" t="s">
        <v>186</v>
      </c>
      <c r="W843" s="2" t="s">
        <v>27</v>
      </c>
      <c r="X843" s="23">
        <v>120</v>
      </c>
      <c r="Y843" s="23">
        <v>349</v>
      </c>
      <c r="Z843" s="23">
        <v>2969</v>
      </c>
      <c r="AA843" s="24">
        <v>0.11754799595823499</v>
      </c>
      <c r="AB843" s="14" t="str">
        <f>VLOOKUP(flu_aw24[[#This Row],[trust_code]],trust_lookup[],3,0)</f>
        <v>Whittington</v>
      </c>
    </row>
    <row r="844" spans="11:28" x14ac:dyDescent="0.35">
      <c r="K844" s="2" t="s">
        <v>519</v>
      </c>
      <c r="L844" s="2" t="s">
        <v>124</v>
      </c>
      <c r="M844" s="2" t="s">
        <v>125</v>
      </c>
      <c r="N844" s="2" t="s">
        <v>192</v>
      </c>
      <c r="O844" s="2" t="s">
        <v>112</v>
      </c>
      <c r="P844" s="2">
        <v>33</v>
      </c>
      <c r="R844" s="43">
        <v>45586</v>
      </c>
      <c r="S844" s="2">
        <v>43</v>
      </c>
      <c r="T844" s="2" t="s">
        <v>519</v>
      </c>
      <c r="U844" s="2" t="s">
        <v>185</v>
      </c>
      <c r="V844" s="2" t="s">
        <v>186</v>
      </c>
      <c r="W844" s="2" t="s">
        <v>27</v>
      </c>
      <c r="X844" s="23">
        <v>113</v>
      </c>
      <c r="Y844" s="23">
        <v>462</v>
      </c>
      <c r="Z844" s="23">
        <v>2969</v>
      </c>
      <c r="AA844" s="24">
        <v>0.155607948804311</v>
      </c>
      <c r="AB844" s="14" t="str">
        <f>VLOOKUP(flu_aw24[[#This Row],[trust_code]],trust_lookup[],3,0)</f>
        <v>Whittington</v>
      </c>
    </row>
    <row r="845" spans="11:28" x14ac:dyDescent="0.35">
      <c r="K845" s="2" t="s">
        <v>519</v>
      </c>
      <c r="L845" s="2" t="s">
        <v>124</v>
      </c>
      <c r="M845" s="2" t="s">
        <v>125</v>
      </c>
      <c r="N845" s="2" t="s">
        <v>192</v>
      </c>
      <c r="O845" s="2" t="s">
        <v>36</v>
      </c>
      <c r="P845" s="2">
        <v>97</v>
      </c>
      <c r="R845" s="43">
        <v>45593</v>
      </c>
      <c r="S845" s="2">
        <v>44</v>
      </c>
      <c r="T845" s="2" t="s">
        <v>519</v>
      </c>
      <c r="U845" s="2" t="s">
        <v>185</v>
      </c>
      <c r="V845" s="2" t="s">
        <v>186</v>
      </c>
      <c r="W845" s="2" t="s">
        <v>27</v>
      </c>
      <c r="X845" s="23">
        <v>68</v>
      </c>
      <c r="Y845" s="23">
        <v>530</v>
      </c>
      <c r="Z845" s="23">
        <v>2969</v>
      </c>
      <c r="AA845" s="24">
        <v>0.17851128326035701</v>
      </c>
      <c r="AB845" s="14" t="str">
        <f>VLOOKUP(flu_aw24[[#This Row],[trust_code]],trust_lookup[],3,0)</f>
        <v>Whittington</v>
      </c>
    </row>
    <row r="846" spans="11:28" x14ac:dyDescent="0.35">
      <c r="K846" s="2" t="s">
        <v>519</v>
      </c>
      <c r="L846" s="2" t="s">
        <v>130</v>
      </c>
      <c r="M846" s="2" t="s">
        <v>131</v>
      </c>
      <c r="N846" s="2" t="s">
        <v>192</v>
      </c>
      <c r="O846" s="2" t="s">
        <v>68</v>
      </c>
      <c r="P846" s="2">
        <v>307</v>
      </c>
      <c r="R846" s="43">
        <v>45600</v>
      </c>
      <c r="S846" s="2">
        <v>45</v>
      </c>
      <c r="T846" s="2" t="s">
        <v>519</v>
      </c>
      <c r="U846" s="2" t="s">
        <v>185</v>
      </c>
      <c r="V846" s="2" t="s">
        <v>186</v>
      </c>
      <c r="W846" s="2" t="s">
        <v>27</v>
      </c>
      <c r="X846" s="23">
        <v>51</v>
      </c>
      <c r="Y846" s="23">
        <v>581</v>
      </c>
      <c r="Z846" s="23">
        <v>2969</v>
      </c>
      <c r="AA846" s="24">
        <v>0.19568878410239099</v>
      </c>
      <c r="AB846" s="14" t="str">
        <f>VLOOKUP(flu_aw24[[#This Row],[trust_code]],trust_lookup[],3,0)</f>
        <v>Whittington</v>
      </c>
    </row>
    <row r="847" spans="11:28" x14ac:dyDescent="0.35">
      <c r="K847" s="2" t="s">
        <v>519</v>
      </c>
      <c r="L847" s="2" t="s">
        <v>130</v>
      </c>
      <c r="M847" s="2" t="s">
        <v>131</v>
      </c>
      <c r="N847" s="2" t="s">
        <v>192</v>
      </c>
      <c r="O847" s="2" t="s">
        <v>135</v>
      </c>
      <c r="P847" s="2">
        <v>31</v>
      </c>
      <c r="R847" s="43">
        <v>45607</v>
      </c>
      <c r="S847" s="2">
        <v>46</v>
      </c>
      <c r="T847" s="2" t="s">
        <v>519</v>
      </c>
      <c r="U847" s="2" t="s">
        <v>185</v>
      </c>
      <c r="V847" s="2" t="s">
        <v>186</v>
      </c>
      <c r="W847" s="2" t="s">
        <v>27</v>
      </c>
      <c r="X847" s="23">
        <v>70</v>
      </c>
      <c r="Y847" s="23">
        <v>651</v>
      </c>
      <c r="Z847" s="23">
        <v>2969</v>
      </c>
      <c r="AA847" s="24">
        <v>0.21926574604243801</v>
      </c>
      <c r="AB847" s="14" t="str">
        <f>VLOOKUP(flu_aw24[[#This Row],[trust_code]],trust_lookup[],3,0)</f>
        <v>Whittington</v>
      </c>
    </row>
    <row r="848" spans="11:28" x14ac:dyDescent="0.35">
      <c r="K848" s="2" t="s">
        <v>519</v>
      </c>
      <c r="L848" s="2" t="s">
        <v>130</v>
      </c>
      <c r="M848" s="2" t="s">
        <v>131</v>
      </c>
      <c r="N848" s="2" t="s">
        <v>192</v>
      </c>
      <c r="O848" s="2" t="s">
        <v>54</v>
      </c>
      <c r="P848" s="2">
        <v>107</v>
      </c>
      <c r="R848" s="43">
        <v>45614</v>
      </c>
      <c r="S848" s="2">
        <v>47</v>
      </c>
      <c r="T848" s="2" t="s">
        <v>519</v>
      </c>
      <c r="U848" s="2" t="s">
        <v>185</v>
      </c>
      <c r="V848" s="2" t="s">
        <v>186</v>
      </c>
      <c r="W848" s="2" t="s">
        <v>27</v>
      </c>
      <c r="X848" s="23">
        <v>41</v>
      </c>
      <c r="Y848" s="23">
        <v>692</v>
      </c>
      <c r="Z848" s="23">
        <v>2969</v>
      </c>
      <c r="AA848" s="24">
        <v>0.233075109464466</v>
      </c>
      <c r="AB848" s="14" t="str">
        <f>VLOOKUP(flu_aw24[[#This Row],[trust_code]],trust_lookup[],3,0)</f>
        <v>Whittington</v>
      </c>
    </row>
    <row r="849" spans="11:28" x14ac:dyDescent="0.35">
      <c r="K849" s="2" t="s">
        <v>519</v>
      </c>
      <c r="L849" s="2" t="s">
        <v>130</v>
      </c>
      <c r="M849" s="2" t="s">
        <v>131</v>
      </c>
      <c r="N849" s="2" t="s">
        <v>192</v>
      </c>
      <c r="O849" s="2" t="s">
        <v>129</v>
      </c>
      <c r="P849" s="2">
        <v>2</v>
      </c>
      <c r="R849" s="43">
        <v>45621</v>
      </c>
      <c r="S849" s="2">
        <v>48</v>
      </c>
      <c r="T849" s="2" t="s">
        <v>519</v>
      </c>
      <c r="U849" s="2" t="s">
        <v>185</v>
      </c>
      <c r="V849" s="2" t="s">
        <v>186</v>
      </c>
      <c r="W849" s="2" t="s">
        <v>27</v>
      </c>
      <c r="X849" s="23">
        <v>42</v>
      </c>
      <c r="Y849" s="23">
        <v>734</v>
      </c>
      <c r="Z849" s="23">
        <v>2969</v>
      </c>
      <c r="AA849" s="24">
        <v>0.24722128662849399</v>
      </c>
      <c r="AB849" s="14" t="str">
        <f>VLOOKUP(flu_aw24[[#This Row],[trust_code]],trust_lookup[],3,0)</f>
        <v>Whittington</v>
      </c>
    </row>
    <row r="850" spans="11:28" x14ac:dyDescent="0.35">
      <c r="K850" s="2" t="s">
        <v>519</v>
      </c>
      <c r="L850" s="2" t="s">
        <v>130</v>
      </c>
      <c r="M850" s="2" t="s">
        <v>131</v>
      </c>
      <c r="N850" s="2" t="s">
        <v>192</v>
      </c>
      <c r="O850" s="2" t="s">
        <v>47</v>
      </c>
      <c r="P850" s="2">
        <v>13</v>
      </c>
      <c r="R850" s="43">
        <v>45628</v>
      </c>
      <c r="S850" s="2">
        <v>49</v>
      </c>
      <c r="T850" s="2" t="s">
        <v>519</v>
      </c>
      <c r="U850" s="2" t="s">
        <v>185</v>
      </c>
      <c r="V850" s="2" t="s">
        <v>186</v>
      </c>
      <c r="W850" s="2" t="s">
        <v>27</v>
      </c>
      <c r="X850" s="23">
        <v>39</v>
      </c>
      <c r="Y850" s="23">
        <v>773</v>
      </c>
      <c r="Z850" s="23">
        <v>2969</v>
      </c>
      <c r="AA850" s="24">
        <v>0.26035702256651999</v>
      </c>
      <c r="AB850" s="14" t="str">
        <f>VLOOKUP(flu_aw24[[#This Row],[trust_code]],trust_lookup[],3,0)</f>
        <v>Whittington</v>
      </c>
    </row>
    <row r="851" spans="11:28" x14ac:dyDescent="0.35">
      <c r="K851" s="2" t="s">
        <v>519</v>
      </c>
      <c r="L851" s="2" t="s">
        <v>130</v>
      </c>
      <c r="M851" s="2" t="s">
        <v>131</v>
      </c>
      <c r="N851" s="2" t="s">
        <v>192</v>
      </c>
      <c r="O851" s="2" t="s">
        <v>94</v>
      </c>
      <c r="P851" s="2">
        <v>10</v>
      </c>
      <c r="R851" s="43">
        <v>45635</v>
      </c>
      <c r="S851" s="2">
        <v>50</v>
      </c>
      <c r="T851" s="2" t="s">
        <v>519</v>
      </c>
      <c r="U851" s="2" t="s">
        <v>185</v>
      </c>
      <c r="V851" s="2" t="s">
        <v>186</v>
      </c>
      <c r="W851" s="2" t="s">
        <v>27</v>
      </c>
      <c r="X851" s="23">
        <v>77</v>
      </c>
      <c r="Y851" s="23">
        <v>850</v>
      </c>
      <c r="Z851" s="23">
        <v>2969</v>
      </c>
      <c r="AA851" s="24">
        <v>0.28629168070057198</v>
      </c>
      <c r="AB851" s="14" t="str">
        <f>VLOOKUP(flu_aw24[[#This Row],[trust_code]],trust_lookup[],3,0)</f>
        <v>Whittington</v>
      </c>
    </row>
    <row r="852" spans="11:28" x14ac:dyDescent="0.35">
      <c r="K852" s="2" t="s">
        <v>519</v>
      </c>
      <c r="L852" s="2" t="s">
        <v>130</v>
      </c>
      <c r="M852" s="2" t="s">
        <v>131</v>
      </c>
      <c r="N852" s="2" t="s">
        <v>192</v>
      </c>
      <c r="O852" s="2" t="s">
        <v>29</v>
      </c>
      <c r="P852" s="2">
        <v>16</v>
      </c>
      <c r="R852" s="43">
        <v>45642</v>
      </c>
      <c r="S852" s="2">
        <v>51</v>
      </c>
      <c r="T852" s="2" t="s">
        <v>519</v>
      </c>
      <c r="U852" s="2" t="s">
        <v>185</v>
      </c>
      <c r="V852" s="2" t="s">
        <v>186</v>
      </c>
      <c r="W852" s="2" t="s">
        <v>27</v>
      </c>
      <c r="X852" s="23">
        <v>51</v>
      </c>
      <c r="Y852" s="23">
        <v>901</v>
      </c>
      <c r="Z852" s="23">
        <v>2969</v>
      </c>
      <c r="AA852" s="24">
        <v>0.30346918154260599</v>
      </c>
      <c r="AB852" s="14" t="str">
        <f>VLOOKUP(flu_aw24[[#This Row],[trust_code]],trust_lookup[],3,0)</f>
        <v>Whittington</v>
      </c>
    </row>
    <row r="853" spans="11:28" x14ac:dyDescent="0.35">
      <c r="K853" s="2" t="s">
        <v>519</v>
      </c>
      <c r="L853" s="2" t="s">
        <v>130</v>
      </c>
      <c r="M853" s="2" t="s">
        <v>131</v>
      </c>
      <c r="N853" s="2" t="s">
        <v>192</v>
      </c>
      <c r="O853" s="2" t="s">
        <v>123</v>
      </c>
      <c r="P853" s="2">
        <v>330</v>
      </c>
      <c r="R853" s="43">
        <v>45649</v>
      </c>
      <c r="S853" s="2">
        <v>52</v>
      </c>
      <c r="T853" s="2" t="s">
        <v>519</v>
      </c>
      <c r="U853" s="2" t="s">
        <v>185</v>
      </c>
      <c r="V853" s="2" t="s">
        <v>186</v>
      </c>
      <c r="W853" s="2" t="s">
        <v>27</v>
      </c>
      <c r="X853" s="23">
        <v>12</v>
      </c>
      <c r="Y853" s="23">
        <v>913</v>
      </c>
      <c r="Z853" s="23">
        <v>2969</v>
      </c>
      <c r="AA853" s="24">
        <v>0.30751094644661497</v>
      </c>
      <c r="AB853" s="2" t="str">
        <f>VLOOKUP(flu_aw24[[#This Row],[trust_code]],trust_lookup[],3,0)</f>
        <v>Whittington</v>
      </c>
    </row>
    <row r="854" spans="11:28" x14ac:dyDescent="0.35">
      <c r="K854" s="2" t="s">
        <v>519</v>
      </c>
      <c r="L854" s="2" t="s">
        <v>130</v>
      </c>
      <c r="M854" s="2" t="s">
        <v>131</v>
      </c>
      <c r="N854" s="2" t="s">
        <v>192</v>
      </c>
      <c r="O854" s="2" t="s">
        <v>82</v>
      </c>
      <c r="P854" s="2">
        <v>36</v>
      </c>
      <c r="R854" s="43">
        <v>45656</v>
      </c>
      <c r="S854" s="2">
        <v>1</v>
      </c>
      <c r="T854" s="2" t="s">
        <v>519</v>
      </c>
      <c r="U854" s="2" t="s">
        <v>185</v>
      </c>
      <c r="V854" s="2" t="s">
        <v>186</v>
      </c>
      <c r="W854" s="2" t="s">
        <v>27</v>
      </c>
      <c r="X854" s="23">
        <v>11</v>
      </c>
      <c r="Y854" s="23">
        <v>924</v>
      </c>
      <c r="Z854" s="23">
        <v>2969</v>
      </c>
      <c r="AA854" s="24">
        <v>0.31121589760862201</v>
      </c>
      <c r="AB854" s="2" t="str">
        <f>VLOOKUP(flu_aw24[[#This Row],[trust_code]],trust_lookup[],3,0)</f>
        <v>Whittington</v>
      </c>
    </row>
    <row r="855" spans="11:28" x14ac:dyDescent="0.35">
      <c r="K855" s="2" t="s">
        <v>519</v>
      </c>
      <c r="L855" s="2" t="s">
        <v>130</v>
      </c>
      <c r="M855" s="2" t="s">
        <v>131</v>
      </c>
      <c r="N855" s="2" t="s">
        <v>192</v>
      </c>
      <c r="O855" s="2" t="s">
        <v>88</v>
      </c>
      <c r="P855" s="2">
        <v>9</v>
      </c>
      <c r="R855" s="43">
        <v>45663</v>
      </c>
      <c r="S855" s="2">
        <v>2</v>
      </c>
      <c r="T855" s="2" t="s">
        <v>519</v>
      </c>
      <c r="U855" s="2" t="s">
        <v>185</v>
      </c>
      <c r="V855" s="2" t="s">
        <v>186</v>
      </c>
      <c r="W855" s="2" t="s">
        <v>27</v>
      </c>
      <c r="X855" s="23">
        <v>31</v>
      </c>
      <c r="Y855" s="23">
        <v>955</v>
      </c>
      <c r="Z855" s="23">
        <v>2969</v>
      </c>
      <c r="AA855" s="24">
        <v>0.32165712361064303</v>
      </c>
      <c r="AB855" s="2" t="str">
        <f>VLOOKUP(flu_aw24[[#This Row],[trust_code]],trust_lookup[],3,0)</f>
        <v>Whittington</v>
      </c>
    </row>
    <row r="856" spans="11:28" x14ac:dyDescent="0.35">
      <c r="K856" s="2" t="s">
        <v>519</v>
      </c>
      <c r="L856" s="2" t="s">
        <v>130</v>
      </c>
      <c r="M856" s="2" t="s">
        <v>131</v>
      </c>
      <c r="N856" s="2" t="s">
        <v>192</v>
      </c>
      <c r="O856" s="2" t="s">
        <v>141</v>
      </c>
      <c r="P856" s="2">
        <v>303</v>
      </c>
      <c r="R856" s="43">
        <v>45670</v>
      </c>
      <c r="S856" s="2">
        <v>3</v>
      </c>
      <c r="T856" s="2" t="s">
        <v>519</v>
      </c>
      <c r="U856" s="2" t="s">
        <v>185</v>
      </c>
      <c r="V856" s="2" t="s">
        <v>186</v>
      </c>
      <c r="W856" s="2" t="s">
        <v>27</v>
      </c>
      <c r="X856" s="23">
        <v>23</v>
      </c>
      <c r="Y856" s="23">
        <v>978</v>
      </c>
      <c r="Z856" s="23">
        <v>2969</v>
      </c>
      <c r="AA856" s="24">
        <v>0.32940383967665798</v>
      </c>
      <c r="AB856" s="2" t="str">
        <f>VLOOKUP(flu_aw24[[#This Row],[trust_code]],trust_lookup[],3,0)</f>
        <v>Whittington</v>
      </c>
    </row>
    <row r="857" spans="11:28" x14ac:dyDescent="0.35">
      <c r="K857" s="2" t="s">
        <v>519</v>
      </c>
      <c r="L857" s="2" t="s">
        <v>130</v>
      </c>
      <c r="M857" s="2" t="s">
        <v>131</v>
      </c>
      <c r="N857" s="2" t="s">
        <v>192</v>
      </c>
      <c r="O857" s="2" t="s">
        <v>61</v>
      </c>
      <c r="P857" s="2">
        <v>27</v>
      </c>
      <c r="R857" s="43">
        <v>45677</v>
      </c>
      <c r="S857" s="2">
        <v>4</v>
      </c>
      <c r="T857" s="2" t="s">
        <v>519</v>
      </c>
      <c r="U857" s="2" t="s">
        <v>185</v>
      </c>
      <c r="V857" s="2" t="s">
        <v>186</v>
      </c>
      <c r="W857" s="2" t="s">
        <v>27</v>
      </c>
      <c r="X857" s="23">
        <v>11</v>
      </c>
      <c r="Y857" s="23">
        <v>989</v>
      </c>
      <c r="Z857" s="23">
        <v>2969</v>
      </c>
      <c r="AA857" s="24">
        <v>0.33310879083866601</v>
      </c>
      <c r="AB857" s="2" t="str">
        <f>VLOOKUP(flu_aw24[[#This Row],[trust_code]],trust_lookup[],3,0)</f>
        <v>Whittington</v>
      </c>
    </row>
    <row r="858" spans="11:28" x14ac:dyDescent="0.35">
      <c r="K858" s="2" t="s">
        <v>519</v>
      </c>
      <c r="L858" s="2" t="s">
        <v>130</v>
      </c>
      <c r="M858" s="2" t="s">
        <v>131</v>
      </c>
      <c r="N858" s="2" t="s">
        <v>192</v>
      </c>
      <c r="O858" s="2" t="s">
        <v>100</v>
      </c>
      <c r="P858" s="2">
        <v>104</v>
      </c>
      <c r="R858" s="43">
        <v>45684</v>
      </c>
      <c r="S858" s="2">
        <v>5</v>
      </c>
      <c r="T858" s="2" t="s">
        <v>519</v>
      </c>
      <c r="U858" s="2" t="s">
        <v>185</v>
      </c>
      <c r="V858" s="2" t="s">
        <v>186</v>
      </c>
      <c r="W858" s="2" t="s">
        <v>27</v>
      </c>
      <c r="X858" s="23">
        <v>17</v>
      </c>
      <c r="Y858" s="23">
        <v>1006</v>
      </c>
      <c r="Z858" s="23">
        <v>2969</v>
      </c>
      <c r="AA858" s="24">
        <v>0.33883462445267698</v>
      </c>
      <c r="AB858" s="2" t="str">
        <f>VLOOKUP(flu_aw24[[#This Row],[trust_code]],trust_lookup[],3,0)</f>
        <v>Whittington</v>
      </c>
    </row>
    <row r="859" spans="11:28" x14ac:dyDescent="0.35">
      <c r="K859" s="2" t="s">
        <v>519</v>
      </c>
      <c r="L859" s="2" t="s">
        <v>130</v>
      </c>
      <c r="M859" s="2" t="s">
        <v>131</v>
      </c>
      <c r="N859" s="2" t="s">
        <v>192</v>
      </c>
      <c r="O859" s="2" t="s">
        <v>75</v>
      </c>
      <c r="P859" s="2">
        <v>23</v>
      </c>
      <c r="R859" s="43">
        <v>45691</v>
      </c>
      <c r="S859" s="2">
        <v>6</v>
      </c>
      <c r="T859" s="2" t="s">
        <v>519</v>
      </c>
      <c r="U859" s="2" t="s">
        <v>185</v>
      </c>
      <c r="V859" s="2" t="s">
        <v>186</v>
      </c>
      <c r="W859" s="2" t="s">
        <v>27</v>
      </c>
      <c r="X859" s="23">
        <v>6</v>
      </c>
      <c r="Y859" s="23">
        <v>1012</v>
      </c>
      <c r="Z859" s="23">
        <v>2969</v>
      </c>
      <c r="AA859" s="24">
        <v>0.34085550690468103</v>
      </c>
      <c r="AB859" s="2" t="str">
        <f>VLOOKUP(flu_aw24[[#This Row],[trust_code]],trust_lookup[],3,0)</f>
        <v>Whittington</v>
      </c>
    </row>
    <row r="860" spans="11:28" x14ac:dyDescent="0.35">
      <c r="K860" s="2" t="s">
        <v>519</v>
      </c>
      <c r="L860" s="2" t="s">
        <v>130</v>
      </c>
      <c r="M860" s="2" t="s">
        <v>131</v>
      </c>
      <c r="N860" s="2" t="s">
        <v>192</v>
      </c>
      <c r="O860" s="2" t="s">
        <v>106</v>
      </c>
      <c r="P860" s="2">
        <v>27</v>
      </c>
      <c r="R860" s="43">
        <v>45698</v>
      </c>
      <c r="S860" s="2">
        <v>7</v>
      </c>
      <c r="T860" s="2" t="s">
        <v>519</v>
      </c>
      <c r="U860" s="2" t="s">
        <v>185</v>
      </c>
      <c r="V860" s="2" t="s">
        <v>186</v>
      </c>
      <c r="W860" s="2" t="s">
        <v>27</v>
      </c>
      <c r="X860" s="23">
        <v>9</v>
      </c>
      <c r="Y860" s="23">
        <v>1021</v>
      </c>
      <c r="Z860" s="23">
        <v>2969</v>
      </c>
      <c r="AA860" s="24">
        <v>0.34388683058268699</v>
      </c>
      <c r="AB860" s="2" t="str">
        <f>VLOOKUP(flu_aw24[[#This Row],[trust_code]],trust_lookup[],3,0)</f>
        <v>Whittington</v>
      </c>
    </row>
    <row r="861" spans="11:28" x14ac:dyDescent="0.35">
      <c r="K861" s="2" t="s">
        <v>519</v>
      </c>
      <c r="L861" s="2" t="s">
        <v>130</v>
      </c>
      <c r="M861" s="2" t="s">
        <v>131</v>
      </c>
      <c r="N861" s="2" t="s">
        <v>192</v>
      </c>
      <c r="O861" s="2" t="s">
        <v>112</v>
      </c>
      <c r="P861" s="2">
        <v>151</v>
      </c>
      <c r="R861" s="43">
        <v>45705</v>
      </c>
      <c r="S861" s="2">
        <v>8</v>
      </c>
      <c r="T861" s="2" t="s">
        <v>519</v>
      </c>
      <c r="U861" s="2" t="s">
        <v>185</v>
      </c>
      <c r="V861" s="2" t="s">
        <v>186</v>
      </c>
      <c r="W861" s="2" t="s">
        <v>27</v>
      </c>
      <c r="X861" s="23">
        <v>3</v>
      </c>
      <c r="Y861" s="23">
        <v>1024</v>
      </c>
      <c r="Z861" s="23">
        <v>2969</v>
      </c>
      <c r="AA861" s="24">
        <v>0.34489727180868901</v>
      </c>
      <c r="AB861" s="2" t="str">
        <f>VLOOKUP(flu_aw24[[#This Row],[trust_code]],trust_lookup[],3,0)</f>
        <v>Whittington</v>
      </c>
    </row>
    <row r="862" spans="11:28" x14ac:dyDescent="0.35">
      <c r="K862" s="2" t="s">
        <v>519</v>
      </c>
      <c r="L862" s="2" t="s">
        <v>130</v>
      </c>
      <c r="M862" s="2" t="s">
        <v>131</v>
      </c>
      <c r="N862" s="2" t="s">
        <v>192</v>
      </c>
      <c r="O862" s="2" t="s">
        <v>36</v>
      </c>
      <c r="P862" s="2">
        <v>90</v>
      </c>
      <c r="R862" s="43">
        <v>45712</v>
      </c>
      <c r="S862" s="2">
        <v>9</v>
      </c>
      <c r="T862" s="2" t="s">
        <v>519</v>
      </c>
      <c r="U862" s="2" t="s">
        <v>185</v>
      </c>
      <c r="V862" s="2" t="s">
        <v>186</v>
      </c>
      <c r="W862" s="2" t="s">
        <v>27</v>
      </c>
      <c r="X862" s="23">
        <v>2</v>
      </c>
      <c r="Y862" s="23">
        <v>1026</v>
      </c>
      <c r="Z862" s="23">
        <v>2969</v>
      </c>
      <c r="AA862" s="24">
        <v>0.34557089929269103</v>
      </c>
      <c r="AB862" s="2" t="str">
        <f>VLOOKUP(flu_aw24[[#This Row],[trust_code]],trust_lookup[],3,0)</f>
        <v>Whittington</v>
      </c>
    </row>
    <row r="863" spans="11:28" x14ac:dyDescent="0.35">
      <c r="K863" s="2" t="s">
        <v>519</v>
      </c>
      <c r="L863" s="2" t="s">
        <v>176</v>
      </c>
      <c r="M863" s="2" t="s">
        <v>177</v>
      </c>
      <c r="N863" s="2" t="s">
        <v>192</v>
      </c>
      <c r="O863" s="2" t="s">
        <v>68</v>
      </c>
      <c r="P863" s="2">
        <v>289</v>
      </c>
      <c r="R863" s="43">
        <v>45719</v>
      </c>
      <c r="S863" s="2">
        <v>10</v>
      </c>
      <c r="T863" s="2" t="s">
        <v>519</v>
      </c>
      <c r="U863" s="2" t="s">
        <v>185</v>
      </c>
      <c r="V863" s="2" t="s">
        <v>186</v>
      </c>
      <c r="W863" s="2" t="s">
        <v>27</v>
      </c>
      <c r="X863" s="23">
        <v>1</v>
      </c>
      <c r="Y863" s="23">
        <v>1027</v>
      </c>
      <c r="Z863" s="23">
        <v>2969</v>
      </c>
      <c r="AA863" s="24">
        <v>0.34590771303469098</v>
      </c>
      <c r="AB863" s="2" t="str">
        <f>VLOOKUP(flu_aw24[[#This Row],[trust_code]],trust_lookup[],3,0)</f>
        <v>Whittington</v>
      </c>
    </row>
    <row r="864" spans="11:28" x14ac:dyDescent="0.35">
      <c r="K864" s="2" t="s">
        <v>519</v>
      </c>
      <c r="L864" s="2" t="s">
        <v>176</v>
      </c>
      <c r="M864" s="2" t="s">
        <v>177</v>
      </c>
      <c r="N864" s="2" t="s">
        <v>192</v>
      </c>
      <c r="O864" s="2" t="s">
        <v>135</v>
      </c>
      <c r="P864" s="2">
        <v>12</v>
      </c>
    </row>
    <row r="865" spans="11:16" x14ac:dyDescent="0.35">
      <c r="K865" s="2" t="s">
        <v>519</v>
      </c>
      <c r="L865" s="2" t="s">
        <v>176</v>
      </c>
      <c r="M865" s="2" t="s">
        <v>177</v>
      </c>
      <c r="N865" s="2" t="s">
        <v>192</v>
      </c>
      <c r="O865" s="2" t="s">
        <v>54</v>
      </c>
      <c r="P865" s="2">
        <v>52</v>
      </c>
    </row>
    <row r="866" spans="11:16" x14ac:dyDescent="0.35">
      <c r="K866" s="2" t="s">
        <v>519</v>
      </c>
      <c r="L866" s="2" t="s">
        <v>176</v>
      </c>
      <c r="M866" s="2" t="s">
        <v>177</v>
      </c>
      <c r="N866" s="2" t="s">
        <v>192</v>
      </c>
      <c r="O866" s="2" t="s">
        <v>129</v>
      </c>
      <c r="P866" s="2">
        <v>2</v>
      </c>
    </row>
    <row r="867" spans="11:16" x14ac:dyDescent="0.35">
      <c r="K867" s="2" t="s">
        <v>519</v>
      </c>
      <c r="L867" s="2" t="s">
        <v>176</v>
      </c>
      <c r="M867" s="2" t="s">
        <v>177</v>
      </c>
      <c r="N867" s="2" t="s">
        <v>192</v>
      </c>
      <c r="O867" s="2" t="s">
        <v>47</v>
      </c>
      <c r="P867" s="2">
        <v>4</v>
      </c>
    </row>
    <row r="868" spans="11:16" x14ac:dyDescent="0.35">
      <c r="K868" s="2" t="s">
        <v>519</v>
      </c>
      <c r="L868" s="2" t="s">
        <v>176</v>
      </c>
      <c r="M868" s="2" t="s">
        <v>177</v>
      </c>
      <c r="N868" s="2" t="s">
        <v>192</v>
      </c>
      <c r="O868" s="2" t="s">
        <v>94</v>
      </c>
      <c r="P868" s="2">
        <v>6</v>
      </c>
    </row>
    <row r="869" spans="11:16" x14ac:dyDescent="0.35">
      <c r="K869" s="2" t="s">
        <v>519</v>
      </c>
      <c r="L869" s="2" t="s">
        <v>176</v>
      </c>
      <c r="M869" s="2" t="s">
        <v>177</v>
      </c>
      <c r="N869" s="2" t="s">
        <v>192</v>
      </c>
      <c r="O869" s="2" t="s">
        <v>29</v>
      </c>
      <c r="P869" s="2">
        <v>15</v>
      </c>
    </row>
    <row r="870" spans="11:16" x14ac:dyDescent="0.35">
      <c r="K870" s="2" t="s">
        <v>519</v>
      </c>
      <c r="L870" s="2" t="s">
        <v>176</v>
      </c>
      <c r="M870" s="2" t="s">
        <v>177</v>
      </c>
      <c r="N870" s="2" t="s">
        <v>192</v>
      </c>
      <c r="O870" s="2" t="s">
        <v>123</v>
      </c>
      <c r="P870" s="2">
        <v>158</v>
      </c>
    </row>
    <row r="871" spans="11:16" x14ac:dyDescent="0.35">
      <c r="K871" s="2" t="s">
        <v>519</v>
      </c>
      <c r="L871" s="2" t="s">
        <v>176</v>
      </c>
      <c r="M871" s="2" t="s">
        <v>177</v>
      </c>
      <c r="N871" s="2" t="s">
        <v>192</v>
      </c>
      <c r="O871" s="2" t="s">
        <v>82</v>
      </c>
      <c r="P871" s="2">
        <v>25</v>
      </c>
    </row>
    <row r="872" spans="11:16" x14ac:dyDescent="0.35">
      <c r="K872" s="2" t="s">
        <v>519</v>
      </c>
      <c r="L872" s="2" t="s">
        <v>176</v>
      </c>
      <c r="M872" s="2" t="s">
        <v>177</v>
      </c>
      <c r="N872" s="2" t="s">
        <v>192</v>
      </c>
      <c r="O872" s="2" t="s">
        <v>88</v>
      </c>
      <c r="P872" s="2">
        <v>7</v>
      </c>
    </row>
    <row r="873" spans="11:16" x14ac:dyDescent="0.35">
      <c r="K873" s="2" t="s">
        <v>519</v>
      </c>
      <c r="L873" s="2" t="s">
        <v>176</v>
      </c>
      <c r="M873" s="2" t="s">
        <v>177</v>
      </c>
      <c r="N873" s="2" t="s">
        <v>192</v>
      </c>
      <c r="O873" s="2" t="s">
        <v>141</v>
      </c>
      <c r="P873" s="2">
        <v>145</v>
      </c>
    </row>
    <row r="874" spans="11:16" x14ac:dyDescent="0.35">
      <c r="K874" s="2" t="s">
        <v>519</v>
      </c>
      <c r="L874" s="2" t="s">
        <v>176</v>
      </c>
      <c r="M874" s="2" t="s">
        <v>177</v>
      </c>
      <c r="N874" s="2" t="s">
        <v>192</v>
      </c>
      <c r="O874" s="2" t="s">
        <v>61</v>
      </c>
      <c r="P874" s="2">
        <v>14</v>
      </c>
    </row>
    <row r="875" spans="11:16" x14ac:dyDescent="0.35">
      <c r="K875" s="2" t="s">
        <v>519</v>
      </c>
      <c r="L875" s="2" t="s">
        <v>176</v>
      </c>
      <c r="M875" s="2" t="s">
        <v>177</v>
      </c>
      <c r="N875" s="2" t="s">
        <v>192</v>
      </c>
      <c r="O875" s="2" t="s">
        <v>100</v>
      </c>
      <c r="P875" s="2">
        <v>53</v>
      </c>
    </row>
    <row r="876" spans="11:16" x14ac:dyDescent="0.35">
      <c r="K876" s="2" t="s">
        <v>519</v>
      </c>
      <c r="L876" s="2" t="s">
        <v>176</v>
      </c>
      <c r="M876" s="2" t="s">
        <v>177</v>
      </c>
      <c r="N876" s="2" t="s">
        <v>192</v>
      </c>
      <c r="O876" s="2" t="s">
        <v>75</v>
      </c>
      <c r="P876" s="2">
        <v>16</v>
      </c>
    </row>
    <row r="877" spans="11:16" x14ac:dyDescent="0.35">
      <c r="K877" s="2" t="s">
        <v>519</v>
      </c>
      <c r="L877" s="2" t="s">
        <v>176</v>
      </c>
      <c r="M877" s="2" t="s">
        <v>177</v>
      </c>
      <c r="N877" s="2" t="s">
        <v>192</v>
      </c>
      <c r="O877" s="2" t="s">
        <v>106</v>
      </c>
      <c r="P877" s="2">
        <v>11</v>
      </c>
    </row>
    <row r="878" spans="11:16" x14ac:dyDescent="0.35">
      <c r="K878" s="2" t="s">
        <v>519</v>
      </c>
      <c r="L878" s="2" t="s">
        <v>176</v>
      </c>
      <c r="M878" s="2" t="s">
        <v>177</v>
      </c>
      <c r="N878" s="2" t="s">
        <v>192</v>
      </c>
      <c r="O878" s="2" t="s">
        <v>112</v>
      </c>
      <c r="P878" s="2">
        <v>72</v>
      </c>
    </row>
    <row r="879" spans="11:16" x14ac:dyDescent="0.35">
      <c r="K879" s="2" t="s">
        <v>519</v>
      </c>
      <c r="L879" s="2" t="s">
        <v>176</v>
      </c>
      <c r="M879" s="2" t="s">
        <v>177</v>
      </c>
      <c r="N879" s="2" t="s">
        <v>192</v>
      </c>
      <c r="O879" s="2" t="s">
        <v>36</v>
      </c>
      <c r="P879" s="2">
        <v>31</v>
      </c>
    </row>
    <row r="880" spans="11:16" x14ac:dyDescent="0.35">
      <c r="K880" s="2" t="s">
        <v>519</v>
      </c>
      <c r="L880" s="2" t="s">
        <v>187</v>
      </c>
      <c r="M880" s="2" t="s">
        <v>188</v>
      </c>
      <c r="N880" s="2" t="s">
        <v>192</v>
      </c>
      <c r="O880" s="2" t="s">
        <v>68</v>
      </c>
      <c r="P880" s="2">
        <v>385</v>
      </c>
    </row>
    <row r="881" spans="11:16" x14ac:dyDescent="0.35">
      <c r="K881" s="2" t="s">
        <v>519</v>
      </c>
      <c r="L881" s="2" t="s">
        <v>187</v>
      </c>
      <c r="M881" s="2" t="s">
        <v>188</v>
      </c>
      <c r="N881" s="2" t="s">
        <v>192</v>
      </c>
      <c r="O881" s="2" t="s">
        <v>135</v>
      </c>
      <c r="P881" s="2">
        <v>14</v>
      </c>
    </row>
    <row r="882" spans="11:16" x14ac:dyDescent="0.35">
      <c r="K882" s="2" t="s">
        <v>519</v>
      </c>
      <c r="L882" s="2" t="s">
        <v>187</v>
      </c>
      <c r="M882" s="2" t="s">
        <v>188</v>
      </c>
      <c r="N882" s="2" t="s">
        <v>192</v>
      </c>
      <c r="O882" s="2" t="s">
        <v>54</v>
      </c>
      <c r="P882" s="2">
        <v>108</v>
      </c>
    </row>
    <row r="883" spans="11:16" x14ac:dyDescent="0.35">
      <c r="K883" s="2" t="s">
        <v>519</v>
      </c>
      <c r="L883" s="2" t="s">
        <v>187</v>
      </c>
      <c r="M883" s="2" t="s">
        <v>188</v>
      </c>
      <c r="N883" s="2" t="s">
        <v>192</v>
      </c>
      <c r="O883" s="2" t="s">
        <v>129</v>
      </c>
      <c r="P883" s="2">
        <v>10</v>
      </c>
    </row>
    <row r="884" spans="11:16" x14ac:dyDescent="0.35">
      <c r="K884" s="2" t="s">
        <v>519</v>
      </c>
      <c r="L884" s="2" t="s">
        <v>187</v>
      </c>
      <c r="M884" s="2" t="s">
        <v>188</v>
      </c>
      <c r="N884" s="2" t="s">
        <v>192</v>
      </c>
      <c r="O884" s="2" t="s">
        <v>47</v>
      </c>
      <c r="P884" s="2">
        <v>20</v>
      </c>
    </row>
    <row r="885" spans="11:16" x14ac:dyDescent="0.35">
      <c r="K885" s="2" t="s">
        <v>519</v>
      </c>
      <c r="L885" s="2" t="s">
        <v>187</v>
      </c>
      <c r="M885" s="2" t="s">
        <v>188</v>
      </c>
      <c r="N885" s="2" t="s">
        <v>192</v>
      </c>
      <c r="O885" s="2" t="s">
        <v>94</v>
      </c>
      <c r="P885" s="2">
        <v>16</v>
      </c>
    </row>
    <row r="886" spans="11:16" x14ac:dyDescent="0.35">
      <c r="K886" s="2" t="s">
        <v>519</v>
      </c>
      <c r="L886" s="2" t="s">
        <v>187</v>
      </c>
      <c r="M886" s="2" t="s">
        <v>188</v>
      </c>
      <c r="N886" s="2" t="s">
        <v>192</v>
      </c>
      <c r="O886" s="2" t="s">
        <v>29</v>
      </c>
      <c r="P886" s="2">
        <v>16</v>
      </c>
    </row>
    <row r="887" spans="11:16" x14ac:dyDescent="0.35">
      <c r="K887" s="2" t="s">
        <v>519</v>
      </c>
      <c r="L887" s="2" t="s">
        <v>187</v>
      </c>
      <c r="M887" s="2" t="s">
        <v>188</v>
      </c>
      <c r="N887" s="2" t="s">
        <v>192</v>
      </c>
      <c r="O887" s="2" t="s">
        <v>123</v>
      </c>
      <c r="P887" s="2">
        <v>119</v>
      </c>
    </row>
    <row r="888" spans="11:16" x14ac:dyDescent="0.35">
      <c r="K888" s="2" t="s">
        <v>519</v>
      </c>
      <c r="L888" s="2" t="s">
        <v>187</v>
      </c>
      <c r="M888" s="2" t="s">
        <v>188</v>
      </c>
      <c r="N888" s="2" t="s">
        <v>192</v>
      </c>
      <c r="O888" s="2" t="s">
        <v>82</v>
      </c>
      <c r="P888" s="2">
        <v>12</v>
      </c>
    </row>
    <row r="889" spans="11:16" x14ac:dyDescent="0.35">
      <c r="K889" s="2" t="s">
        <v>519</v>
      </c>
      <c r="L889" s="2" t="s">
        <v>187</v>
      </c>
      <c r="M889" s="2" t="s">
        <v>188</v>
      </c>
      <c r="N889" s="2" t="s">
        <v>192</v>
      </c>
      <c r="O889" s="2" t="s">
        <v>88</v>
      </c>
      <c r="P889" s="2">
        <v>24</v>
      </c>
    </row>
    <row r="890" spans="11:16" x14ac:dyDescent="0.35">
      <c r="K890" s="2" t="s">
        <v>519</v>
      </c>
      <c r="L890" s="2" t="s">
        <v>187</v>
      </c>
      <c r="M890" s="2" t="s">
        <v>188</v>
      </c>
      <c r="N890" s="2" t="s">
        <v>192</v>
      </c>
      <c r="O890" s="2" t="s">
        <v>141</v>
      </c>
      <c r="P890" s="2">
        <v>127</v>
      </c>
    </row>
    <row r="891" spans="11:16" x14ac:dyDescent="0.35">
      <c r="K891" s="2" t="s">
        <v>519</v>
      </c>
      <c r="L891" s="2" t="s">
        <v>187</v>
      </c>
      <c r="M891" s="2" t="s">
        <v>188</v>
      </c>
      <c r="N891" s="2" t="s">
        <v>192</v>
      </c>
      <c r="O891" s="2" t="s">
        <v>61</v>
      </c>
      <c r="P891" s="2">
        <v>25</v>
      </c>
    </row>
    <row r="892" spans="11:16" x14ac:dyDescent="0.35">
      <c r="K892" s="2" t="s">
        <v>519</v>
      </c>
      <c r="L892" s="2" t="s">
        <v>187</v>
      </c>
      <c r="M892" s="2" t="s">
        <v>188</v>
      </c>
      <c r="N892" s="2" t="s">
        <v>192</v>
      </c>
      <c r="O892" s="2" t="s">
        <v>100</v>
      </c>
      <c r="P892" s="2">
        <v>190</v>
      </c>
    </row>
    <row r="893" spans="11:16" x14ac:dyDescent="0.35">
      <c r="K893" s="2" t="s">
        <v>519</v>
      </c>
      <c r="L893" s="2" t="s">
        <v>187</v>
      </c>
      <c r="M893" s="2" t="s">
        <v>188</v>
      </c>
      <c r="N893" s="2" t="s">
        <v>192</v>
      </c>
      <c r="O893" s="2" t="s">
        <v>75</v>
      </c>
      <c r="P893" s="2">
        <v>40</v>
      </c>
    </row>
    <row r="894" spans="11:16" x14ac:dyDescent="0.35">
      <c r="K894" s="2" t="s">
        <v>519</v>
      </c>
      <c r="L894" s="2" t="s">
        <v>187</v>
      </c>
      <c r="M894" s="2" t="s">
        <v>188</v>
      </c>
      <c r="N894" s="2" t="s">
        <v>192</v>
      </c>
      <c r="O894" s="2" t="s">
        <v>106</v>
      </c>
      <c r="P894" s="2">
        <v>12</v>
      </c>
    </row>
    <row r="895" spans="11:16" x14ac:dyDescent="0.35">
      <c r="K895" s="2" t="s">
        <v>519</v>
      </c>
      <c r="L895" s="2" t="s">
        <v>187</v>
      </c>
      <c r="M895" s="2" t="s">
        <v>188</v>
      </c>
      <c r="N895" s="2" t="s">
        <v>192</v>
      </c>
      <c r="O895" s="2" t="s">
        <v>112</v>
      </c>
      <c r="P895" s="2">
        <v>67</v>
      </c>
    </row>
    <row r="896" spans="11:16" x14ac:dyDescent="0.35">
      <c r="K896" s="2" t="s">
        <v>519</v>
      </c>
      <c r="L896" s="2" t="s">
        <v>187</v>
      </c>
      <c r="M896" s="2" t="s">
        <v>188</v>
      </c>
      <c r="N896" s="2" t="s">
        <v>192</v>
      </c>
      <c r="O896" s="2" t="s">
        <v>36</v>
      </c>
      <c r="P896" s="2">
        <v>62</v>
      </c>
    </row>
    <row r="897" spans="11:16" x14ac:dyDescent="0.35">
      <c r="K897" s="2" t="s">
        <v>519</v>
      </c>
      <c r="L897" s="2" t="s">
        <v>89</v>
      </c>
      <c r="M897" s="2" t="s">
        <v>90</v>
      </c>
      <c r="N897" s="2" t="s">
        <v>193</v>
      </c>
      <c r="O897" s="2" t="s">
        <v>68</v>
      </c>
      <c r="P897" s="2">
        <v>2411</v>
      </c>
    </row>
    <row r="898" spans="11:16" x14ac:dyDescent="0.35">
      <c r="K898" s="2" t="s">
        <v>519</v>
      </c>
      <c r="L898" s="2" t="s">
        <v>89</v>
      </c>
      <c r="M898" s="2" t="s">
        <v>90</v>
      </c>
      <c r="N898" s="2" t="s">
        <v>193</v>
      </c>
      <c r="O898" s="2" t="s">
        <v>135</v>
      </c>
      <c r="P898" s="2">
        <v>136</v>
      </c>
    </row>
    <row r="899" spans="11:16" x14ac:dyDescent="0.35">
      <c r="K899" s="2" t="s">
        <v>519</v>
      </c>
      <c r="L899" s="2" t="s">
        <v>89</v>
      </c>
      <c r="M899" s="2" t="s">
        <v>90</v>
      </c>
      <c r="N899" s="2" t="s">
        <v>193</v>
      </c>
      <c r="O899" s="2" t="s">
        <v>54</v>
      </c>
      <c r="P899" s="2">
        <v>730</v>
      </c>
    </row>
    <row r="900" spans="11:16" x14ac:dyDescent="0.35">
      <c r="K900" s="2" t="s">
        <v>519</v>
      </c>
      <c r="L900" s="2" t="s">
        <v>89</v>
      </c>
      <c r="M900" s="2" t="s">
        <v>90</v>
      </c>
      <c r="N900" s="2" t="s">
        <v>193</v>
      </c>
      <c r="O900" s="2" t="s">
        <v>129</v>
      </c>
      <c r="P900" s="2">
        <v>24</v>
      </c>
    </row>
    <row r="901" spans="11:16" x14ac:dyDescent="0.35">
      <c r="K901" s="2" t="s">
        <v>519</v>
      </c>
      <c r="L901" s="2" t="s">
        <v>89</v>
      </c>
      <c r="M901" s="2" t="s">
        <v>90</v>
      </c>
      <c r="N901" s="2" t="s">
        <v>193</v>
      </c>
      <c r="O901" s="2" t="s">
        <v>47</v>
      </c>
      <c r="P901" s="2">
        <v>32</v>
      </c>
    </row>
    <row r="902" spans="11:16" x14ac:dyDescent="0.35">
      <c r="K902" s="2" t="s">
        <v>519</v>
      </c>
      <c r="L902" s="2" t="s">
        <v>89</v>
      </c>
      <c r="M902" s="2" t="s">
        <v>90</v>
      </c>
      <c r="N902" s="2" t="s">
        <v>193</v>
      </c>
      <c r="O902" s="2" t="s">
        <v>94</v>
      </c>
      <c r="P902" s="2">
        <v>49</v>
      </c>
    </row>
    <row r="903" spans="11:16" x14ac:dyDescent="0.35">
      <c r="K903" s="2" t="s">
        <v>519</v>
      </c>
      <c r="L903" s="2" t="s">
        <v>89</v>
      </c>
      <c r="M903" s="2" t="s">
        <v>90</v>
      </c>
      <c r="N903" s="2" t="s">
        <v>193</v>
      </c>
      <c r="O903" s="2" t="s">
        <v>29</v>
      </c>
      <c r="P903" s="2">
        <v>102</v>
      </c>
    </row>
    <row r="904" spans="11:16" x14ac:dyDescent="0.35">
      <c r="K904" s="2" t="s">
        <v>519</v>
      </c>
      <c r="L904" s="2" t="s">
        <v>89</v>
      </c>
      <c r="M904" s="2" t="s">
        <v>90</v>
      </c>
      <c r="N904" s="2" t="s">
        <v>193</v>
      </c>
      <c r="O904" s="2" t="s">
        <v>123</v>
      </c>
      <c r="P904" s="2">
        <v>352</v>
      </c>
    </row>
    <row r="905" spans="11:16" x14ac:dyDescent="0.35">
      <c r="K905" s="2" t="s">
        <v>519</v>
      </c>
      <c r="L905" s="2" t="s">
        <v>89</v>
      </c>
      <c r="M905" s="2" t="s">
        <v>90</v>
      </c>
      <c r="N905" s="2" t="s">
        <v>193</v>
      </c>
      <c r="O905" s="2" t="s">
        <v>82</v>
      </c>
      <c r="P905" s="2">
        <v>75</v>
      </c>
    </row>
    <row r="906" spans="11:16" x14ac:dyDescent="0.35">
      <c r="K906" s="2" t="s">
        <v>519</v>
      </c>
      <c r="L906" s="2" t="s">
        <v>89</v>
      </c>
      <c r="M906" s="2" t="s">
        <v>90</v>
      </c>
      <c r="N906" s="2" t="s">
        <v>193</v>
      </c>
      <c r="O906" s="2" t="s">
        <v>88</v>
      </c>
      <c r="P906" s="2">
        <v>47</v>
      </c>
    </row>
    <row r="907" spans="11:16" x14ac:dyDescent="0.35">
      <c r="K907" s="2" t="s">
        <v>519</v>
      </c>
      <c r="L907" s="2" t="s">
        <v>89</v>
      </c>
      <c r="M907" s="2" t="s">
        <v>90</v>
      </c>
      <c r="N907" s="2" t="s">
        <v>193</v>
      </c>
      <c r="O907" s="2" t="s">
        <v>141</v>
      </c>
      <c r="P907" s="2">
        <v>534</v>
      </c>
    </row>
    <row r="908" spans="11:16" x14ac:dyDescent="0.35">
      <c r="K908" s="2" t="s">
        <v>519</v>
      </c>
      <c r="L908" s="2" t="s">
        <v>89</v>
      </c>
      <c r="M908" s="2" t="s">
        <v>90</v>
      </c>
      <c r="N908" s="2" t="s">
        <v>193</v>
      </c>
      <c r="O908" s="2" t="s">
        <v>61</v>
      </c>
      <c r="P908" s="2">
        <v>82</v>
      </c>
    </row>
    <row r="909" spans="11:16" x14ac:dyDescent="0.35">
      <c r="K909" s="2" t="s">
        <v>519</v>
      </c>
      <c r="L909" s="2" t="s">
        <v>89</v>
      </c>
      <c r="M909" s="2" t="s">
        <v>90</v>
      </c>
      <c r="N909" s="2" t="s">
        <v>193</v>
      </c>
      <c r="O909" s="2" t="s">
        <v>100</v>
      </c>
      <c r="P909" s="2">
        <v>501</v>
      </c>
    </row>
    <row r="910" spans="11:16" x14ac:dyDescent="0.35">
      <c r="K910" s="2" t="s">
        <v>519</v>
      </c>
      <c r="L910" s="2" t="s">
        <v>89</v>
      </c>
      <c r="M910" s="2" t="s">
        <v>90</v>
      </c>
      <c r="N910" s="2" t="s">
        <v>193</v>
      </c>
      <c r="O910" s="2" t="s">
        <v>75</v>
      </c>
      <c r="P910" s="2">
        <v>113</v>
      </c>
    </row>
    <row r="911" spans="11:16" x14ac:dyDescent="0.35">
      <c r="K911" s="2" t="s">
        <v>519</v>
      </c>
      <c r="L911" s="2" t="s">
        <v>89</v>
      </c>
      <c r="M911" s="2" t="s">
        <v>90</v>
      </c>
      <c r="N911" s="2" t="s">
        <v>193</v>
      </c>
      <c r="O911" s="2" t="s">
        <v>106</v>
      </c>
      <c r="P911" s="2">
        <v>141</v>
      </c>
    </row>
    <row r="912" spans="11:16" x14ac:dyDescent="0.35">
      <c r="K912" s="2" t="s">
        <v>519</v>
      </c>
      <c r="L912" s="2" t="s">
        <v>89</v>
      </c>
      <c r="M912" s="2" t="s">
        <v>90</v>
      </c>
      <c r="N912" s="2" t="s">
        <v>193</v>
      </c>
      <c r="O912" s="2" t="s">
        <v>112</v>
      </c>
      <c r="P912" s="2">
        <v>382</v>
      </c>
    </row>
    <row r="913" spans="11:16" x14ac:dyDescent="0.35">
      <c r="K913" s="2" t="s">
        <v>519</v>
      </c>
      <c r="L913" s="2" t="s">
        <v>89</v>
      </c>
      <c r="M913" s="2" t="s">
        <v>90</v>
      </c>
      <c r="N913" s="2" t="s">
        <v>193</v>
      </c>
      <c r="O913" s="2" t="s">
        <v>36</v>
      </c>
      <c r="P913" s="2">
        <v>244</v>
      </c>
    </row>
    <row r="914" spans="11:16" x14ac:dyDescent="0.35">
      <c r="K914" s="2" t="s">
        <v>519</v>
      </c>
      <c r="L914" s="2" t="s">
        <v>107</v>
      </c>
      <c r="M914" s="2" t="s">
        <v>108</v>
      </c>
      <c r="N914" s="2" t="s">
        <v>193</v>
      </c>
      <c r="O914" s="2" t="s">
        <v>68</v>
      </c>
      <c r="P914" s="2">
        <v>1231</v>
      </c>
    </row>
    <row r="915" spans="11:16" x14ac:dyDescent="0.35">
      <c r="K915" s="2" t="s">
        <v>519</v>
      </c>
      <c r="L915" s="2" t="s">
        <v>107</v>
      </c>
      <c r="M915" s="2" t="s">
        <v>108</v>
      </c>
      <c r="N915" s="2" t="s">
        <v>193</v>
      </c>
      <c r="O915" s="2" t="s">
        <v>135</v>
      </c>
      <c r="P915" s="2">
        <v>78</v>
      </c>
    </row>
    <row r="916" spans="11:16" x14ac:dyDescent="0.35">
      <c r="K916" s="2" t="s">
        <v>519</v>
      </c>
      <c r="L916" s="2" t="s">
        <v>107</v>
      </c>
      <c r="M916" s="2" t="s">
        <v>108</v>
      </c>
      <c r="N916" s="2" t="s">
        <v>193</v>
      </c>
      <c r="O916" s="2" t="s">
        <v>54</v>
      </c>
      <c r="P916" s="2">
        <v>302</v>
      </c>
    </row>
    <row r="917" spans="11:16" x14ac:dyDescent="0.35">
      <c r="K917" s="2" t="s">
        <v>519</v>
      </c>
      <c r="L917" s="2" t="s">
        <v>107</v>
      </c>
      <c r="M917" s="2" t="s">
        <v>108</v>
      </c>
      <c r="N917" s="2" t="s">
        <v>193</v>
      </c>
      <c r="O917" s="2" t="s">
        <v>129</v>
      </c>
      <c r="P917" s="2">
        <v>19</v>
      </c>
    </row>
    <row r="918" spans="11:16" x14ac:dyDescent="0.35">
      <c r="K918" s="2" t="s">
        <v>519</v>
      </c>
      <c r="L918" s="2" t="s">
        <v>107</v>
      </c>
      <c r="M918" s="2" t="s">
        <v>108</v>
      </c>
      <c r="N918" s="2" t="s">
        <v>193</v>
      </c>
      <c r="O918" s="2" t="s">
        <v>47</v>
      </c>
      <c r="P918" s="2">
        <v>40</v>
      </c>
    </row>
    <row r="919" spans="11:16" x14ac:dyDescent="0.35">
      <c r="K919" s="2" t="s">
        <v>519</v>
      </c>
      <c r="L919" s="2" t="s">
        <v>107</v>
      </c>
      <c r="M919" s="2" t="s">
        <v>108</v>
      </c>
      <c r="N919" s="2" t="s">
        <v>193</v>
      </c>
      <c r="O919" s="2" t="s">
        <v>94</v>
      </c>
      <c r="P919" s="2">
        <v>36</v>
      </c>
    </row>
    <row r="920" spans="11:16" x14ac:dyDescent="0.35">
      <c r="K920" s="2" t="s">
        <v>519</v>
      </c>
      <c r="L920" s="2" t="s">
        <v>107</v>
      </c>
      <c r="M920" s="2" t="s">
        <v>108</v>
      </c>
      <c r="N920" s="2" t="s">
        <v>193</v>
      </c>
      <c r="O920" s="2" t="s">
        <v>29</v>
      </c>
      <c r="P920" s="2">
        <v>82</v>
      </c>
    </row>
    <row r="921" spans="11:16" x14ac:dyDescent="0.35">
      <c r="K921" s="2" t="s">
        <v>519</v>
      </c>
      <c r="L921" s="2" t="s">
        <v>107</v>
      </c>
      <c r="M921" s="2" t="s">
        <v>108</v>
      </c>
      <c r="N921" s="2" t="s">
        <v>193</v>
      </c>
      <c r="O921" s="2" t="s">
        <v>123</v>
      </c>
      <c r="P921" s="2">
        <v>300</v>
      </c>
    </row>
    <row r="922" spans="11:16" x14ac:dyDescent="0.35">
      <c r="K922" s="2" t="s">
        <v>519</v>
      </c>
      <c r="L922" s="2" t="s">
        <v>107</v>
      </c>
      <c r="M922" s="2" t="s">
        <v>108</v>
      </c>
      <c r="N922" s="2" t="s">
        <v>193</v>
      </c>
      <c r="O922" s="2" t="s">
        <v>82</v>
      </c>
      <c r="P922" s="2">
        <v>58</v>
      </c>
    </row>
    <row r="923" spans="11:16" x14ac:dyDescent="0.35">
      <c r="K923" s="2" t="s">
        <v>519</v>
      </c>
      <c r="L923" s="2" t="s">
        <v>107</v>
      </c>
      <c r="M923" s="2" t="s">
        <v>108</v>
      </c>
      <c r="N923" s="2" t="s">
        <v>193</v>
      </c>
      <c r="O923" s="2" t="s">
        <v>88</v>
      </c>
      <c r="P923" s="2">
        <v>28</v>
      </c>
    </row>
    <row r="924" spans="11:16" x14ac:dyDescent="0.35">
      <c r="K924" s="2" t="s">
        <v>519</v>
      </c>
      <c r="L924" s="2" t="s">
        <v>107</v>
      </c>
      <c r="M924" s="2" t="s">
        <v>108</v>
      </c>
      <c r="N924" s="2" t="s">
        <v>193</v>
      </c>
      <c r="O924" s="2" t="s">
        <v>141</v>
      </c>
      <c r="P924" s="2">
        <v>496</v>
      </c>
    </row>
    <row r="925" spans="11:16" x14ac:dyDescent="0.35">
      <c r="K925" s="2" t="s">
        <v>519</v>
      </c>
      <c r="L925" s="2" t="s">
        <v>107</v>
      </c>
      <c r="M925" s="2" t="s">
        <v>108</v>
      </c>
      <c r="N925" s="2" t="s">
        <v>193</v>
      </c>
      <c r="O925" s="2" t="s">
        <v>61</v>
      </c>
      <c r="P925" s="2">
        <v>66</v>
      </c>
    </row>
    <row r="926" spans="11:16" x14ac:dyDescent="0.35">
      <c r="K926" s="2" t="s">
        <v>519</v>
      </c>
      <c r="L926" s="2" t="s">
        <v>107</v>
      </c>
      <c r="M926" s="2" t="s">
        <v>108</v>
      </c>
      <c r="N926" s="2" t="s">
        <v>193</v>
      </c>
      <c r="O926" s="2" t="s">
        <v>100</v>
      </c>
      <c r="P926" s="2">
        <v>394</v>
      </c>
    </row>
    <row r="927" spans="11:16" x14ac:dyDescent="0.35">
      <c r="K927" s="2" t="s">
        <v>519</v>
      </c>
      <c r="L927" s="2" t="s">
        <v>107</v>
      </c>
      <c r="M927" s="2" t="s">
        <v>108</v>
      </c>
      <c r="N927" s="2" t="s">
        <v>193</v>
      </c>
      <c r="O927" s="2" t="s">
        <v>75</v>
      </c>
      <c r="P927" s="2">
        <v>90</v>
      </c>
    </row>
    <row r="928" spans="11:16" x14ac:dyDescent="0.35">
      <c r="K928" s="2" t="s">
        <v>519</v>
      </c>
      <c r="L928" s="2" t="s">
        <v>107</v>
      </c>
      <c r="M928" s="2" t="s">
        <v>108</v>
      </c>
      <c r="N928" s="2" t="s">
        <v>193</v>
      </c>
      <c r="O928" s="2" t="s">
        <v>106</v>
      </c>
      <c r="P928" s="2">
        <v>62</v>
      </c>
    </row>
    <row r="929" spans="11:16" x14ac:dyDescent="0.35">
      <c r="K929" s="2" t="s">
        <v>519</v>
      </c>
      <c r="L929" s="2" t="s">
        <v>107</v>
      </c>
      <c r="M929" s="2" t="s">
        <v>108</v>
      </c>
      <c r="N929" s="2" t="s">
        <v>193</v>
      </c>
      <c r="O929" s="2" t="s">
        <v>112</v>
      </c>
      <c r="P929" s="2">
        <v>283</v>
      </c>
    </row>
    <row r="930" spans="11:16" x14ac:dyDescent="0.35">
      <c r="K930" s="2" t="s">
        <v>519</v>
      </c>
      <c r="L930" s="2" t="s">
        <v>107</v>
      </c>
      <c r="M930" s="2" t="s">
        <v>108</v>
      </c>
      <c r="N930" s="2" t="s">
        <v>193</v>
      </c>
      <c r="O930" s="2" t="s">
        <v>36</v>
      </c>
      <c r="P930" s="2">
        <v>205</v>
      </c>
    </row>
    <row r="931" spans="11:16" x14ac:dyDescent="0.35">
      <c r="K931" s="2" t="s">
        <v>519</v>
      </c>
      <c r="L931" s="2" t="s">
        <v>118</v>
      </c>
      <c r="M931" s="2" t="s">
        <v>119</v>
      </c>
      <c r="N931" s="2" t="s">
        <v>193</v>
      </c>
      <c r="O931" s="2" t="s">
        <v>68</v>
      </c>
      <c r="P931" s="2">
        <v>591</v>
      </c>
    </row>
    <row r="932" spans="11:16" x14ac:dyDescent="0.35">
      <c r="K932" s="2" t="s">
        <v>519</v>
      </c>
      <c r="L932" s="2" t="s">
        <v>118</v>
      </c>
      <c r="M932" s="2" t="s">
        <v>119</v>
      </c>
      <c r="N932" s="2" t="s">
        <v>193</v>
      </c>
      <c r="O932" s="2" t="s">
        <v>135</v>
      </c>
      <c r="P932" s="2">
        <v>25</v>
      </c>
    </row>
    <row r="933" spans="11:16" x14ac:dyDescent="0.35">
      <c r="K933" s="2" t="s">
        <v>519</v>
      </c>
      <c r="L933" s="2" t="s">
        <v>118</v>
      </c>
      <c r="M933" s="2" t="s">
        <v>119</v>
      </c>
      <c r="N933" s="2" t="s">
        <v>193</v>
      </c>
      <c r="O933" s="2" t="s">
        <v>54</v>
      </c>
      <c r="P933" s="2">
        <v>155</v>
      </c>
    </row>
    <row r="934" spans="11:16" x14ac:dyDescent="0.35">
      <c r="K934" s="2" t="s">
        <v>519</v>
      </c>
      <c r="L934" s="2" t="s">
        <v>118</v>
      </c>
      <c r="M934" s="2" t="s">
        <v>119</v>
      </c>
      <c r="N934" s="2" t="s">
        <v>193</v>
      </c>
      <c r="O934" s="2" t="s">
        <v>129</v>
      </c>
      <c r="P934" s="2">
        <v>12</v>
      </c>
    </row>
    <row r="935" spans="11:16" x14ac:dyDescent="0.35">
      <c r="K935" s="2" t="s">
        <v>519</v>
      </c>
      <c r="L935" s="2" t="s">
        <v>118</v>
      </c>
      <c r="M935" s="2" t="s">
        <v>119</v>
      </c>
      <c r="N935" s="2" t="s">
        <v>193</v>
      </c>
      <c r="O935" s="2" t="s">
        <v>47</v>
      </c>
      <c r="P935" s="2">
        <v>29</v>
      </c>
    </row>
    <row r="936" spans="11:16" x14ac:dyDescent="0.35">
      <c r="K936" s="2" t="s">
        <v>519</v>
      </c>
      <c r="L936" s="2" t="s">
        <v>118</v>
      </c>
      <c r="M936" s="2" t="s">
        <v>119</v>
      </c>
      <c r="N936" s="2" t="s">
        <v>193</v>
      </c>
      <c r="O936" s="2" t="s">
        <v>94</v>
      </c>
      <c r="P936" s="2">
        <v>14</v>
      </c>
    </row>
    <row r="937" spans="11:16" x14ac:dyDescent="0.35">
      <c r="K937" s="2" t="s">
        <v>519</v>
      </c>
      <c r="L937" s="2" t="s">
        <v>118</v>
      </c>
      <c r="M937" s="2" t="s">
        <v>119</v>
      </c>
      <c r="N937" s="2" t="s">
        <v>193</v>
      </c>
      <c r="O937" s="2" t="s">
        <v>29</v>
      </c>
      <c r="P937" s="2">
        <v>24</v>
      </c>
    </row>
    <row r="938" spans="11:16" x14ac:dyDescent="0.35">
      <c r="K938" s="2" t="s">
        <v>519</v>
      </c>
      <c r="L938" s="2" t="s">
        <v>118</v>
      </c>
      <c r="M938" s="2" t="s">
        <v>119</v>
      </c>
      <c r="N938" s="2" t="s">
        <v>193</v>
      </c>
      <c r="O938" s="2" t="s">
        <v>123</v>
      </c>
      <c r="P938" s="2">
        <v>158</v>
      </c>
    </row>
    <row r="939" spans="11:16" x14ac:dyDescent="0.35">
      <c r="K939" s="2" t="s">
        <v>519</v>
      </c>
      <c r="L939" s="2" t="s">
        <v>118</v>
      </c>
      <c r="M939" s="2" t="s">
        <v>119</v>
      </c>
      <c r="N939" s="2" t="s">
        <v>193</v>
      </c>
      <c r="O939" s="2" t="s">
        <v>82</v>
      </c>
      <c r="P939" s="2">
        <v>21</v>
      </c>
    </row>
    <row r="940" spans="11:16" x14ac:dyDescent="0.35">
      <c r="K940" s="2" t="s">
        <v>519</v>
      </c>
      <c r="L940" s="2" t="s">
        <v>118</v>
      </c>
      <c r="M940" s="2" t="s">
        <v>119</v>
      </c>
      <c r="N940" s="2" t="s">
        <v>193</v>
      </c>
      <c r="O940" s="2" t="s">
        <v>88</v>
      </c>
      <c r="P940" s="2">
        <v>15</v>
      </c>
    </row>
    <row r="941" spans="11:16" x14ac:dyDescent="0.35">
      <c r="K941" s="2" t="s">
        <v>519</v>
      </c>
      <c r="L941" s="2" t="s">
        <v>118</v>
      </c>
      <c r="M941" s="2" t="s">
        <v>119</v>
      </c>
      <c r="N941" s="2" t="s">
        <v>193</v>
      </c>
      <c r="O941" s="2" t="s">
        <v>141</v>
      </c>
      <c r="P941" s="2">
        <v>190</v>
      </c>
    </row>
    <row r="942" spans="11:16" x14ac:dyDescent="0.35">
      <c r="K942" s="2" t="s">
        <v>519</v>
      </c>
      <c r="L942" s="2" t="s">
        <v>118</v>
      </c>
      <c r="M942" s="2" t="s">
        <v>119</v>
      </c>
      <c r="N942" s="2" t="s">
        <v>193</v>
      </c>
      <c r="O942" s="2" t="s">
        <v>61</v>
      </c>
      <c r="P942" s="2">
        <v>53</v>
      </c>
    </row>
    <row r="943" spans="11:16" x14ac:dyDescent="0.35">
      <c r="K943" s="2" t="s">
        <v>519</v>
      </c>
      <c r="L943" s="2" t="s">
        <v>118</v>
      </c>
      <c r="M943" s="2" t="s">
        <v>119</v>
      </c>
      <c r="N943" s="2" t="s">
        <v>193</v>
      </c>
      <c r="O943" s="2" t="s">
        <v>100</v>
      </c>
      <c r="P943" s="2">
        <v>322</v>
      </c>
    </row>
    <row r="944" spans="11:16" x14ac:dyDescent="0.35">
      <c r="K944" s="2" t="s">
        <v>519</v>
      </c>
      <c r="L944" s="2" t="s">
        <v>118</v>
      </c>
      <c r="M944" s="2" t="s">
        <v>119</v>
      </c>
      <c r="N944" s="2" t="s">
        <v>193</v>
      </c>
      <c r="O944" s="2" t="s">
        <v>75</v>
      </c>
      <c r="P944" s="2">
        <v>88</v>
      </c>
    </row>
    <row r="945" spans="11:16" x14ac:dyDescent="0.35">
      <c r="K945" s="2" t="s">
        <v>519</v>
      </c>
      <c r="L945" s="2" t="s">
        <v>118</v>
      </c>
      <c r="M945" s="2" t="s">
        <v>119</v>
      </c>
      <c r="N945" s="2" t="s">
        <v>193</v>
      </c>
      <c r="O945" s="2" t="s">
        <v>106</v>
      </c>
      <c r="P945" s="2">
        <v>33</v>
      </c>
    </row>
    <row r="946" spans="11:16" x14ac:dyDescent="0.35">
      <c r="K946" s="2" t="s">
        <v>519</v>
      </c>
      <c r="L946" s="2" t="s">
        <v>118</v>
      </c>
      <c r="M946" s="2" t="s">
        <v>119</v>
      </c>
      <c r="N946" s="2" t="s">
        <v>193</v>
      </c>
      <c r="O946" s="2" t="s">
        <v>112</v>
      </c>
      <c r="P946" s="2">
        <v>119</v>
      </c>
    </row>
    <row r="947" spans="11:16" x14ac:dyDescent="0.35">
      <c r="K947" s="2" t="s">
        <v>519</v>
      </c>
      <c r="L947" s="2" t="s">
        <v>118</v>
      </c>
      <c r="M947" s="2" t="s">
        <v>119</v>
      </c>
      <c r="N947" s="2" t="s">
        <v>193</v>
      </c>
      <c r="O947" s="2" t="s">
        <v>36</v>
      </c>
      <c r="P947" s="2">
        <v>79</v>
      </c>
    </row>
    <row r="948" spans="11:16" x14ac:dyDescent="0.35">
      <c r="K948" s="2" t="s">
        <v>519</v>
      </c>
      <c r="L948" s="2" t="s">
        <v>152</v>
      </c>
      <c r="M948" s="2" t="s">
        <v>153</v>
      </c>
      <c r="N948" s="2" t="s">
        <v>193</v>
      </c>
      <c r="O948" s="2" t="s">
        <v>68</v>
      </c>
      <c r="P948" s="2">
        <v>442</v>
      </c>
    </row>
    <row r="949" spans="11:16" x14ac:dyDescent="0.35">
      <c r="K949" s="2" t="s">
        <v>519</v>
      </c>
      <c r="L949" s="2" t="s">
        <v>152</v>
      </c>
      <c r="M949" s="2" t="s">
        <v>153</v>
      </c>
      <c r="N949" s="2" t="s">
        <v>193</v>
      </c>
      <c r="O949" s="2" t="s">
        <v>135</v>
      </c>
      <c r="P949" s="2">
        <v>14</v>
      </c>
    </row>
    <row r="950" spans="11:16" x14ac:dyDescent="0.35">
      <c r="K950" s="2" t="s">
        <v>519</v>
      </c>
      <c r="L950" s="2" t="s">
        <v>152</v>
      </c>
      <c r="M950" s="2" t="s">
        <v>153</v>
      </c>
      <c r="N950" s="2" t="s">
        <v>193</v>
      </c>
      <c r="O950" s="2" t="s">
        <v>54</v>
      </c>
      <c r="P950" s="2">
        <v>60</v>
      </c>
    </row>
    <row r="951" spans="11:16" x14ac:dyDescent="0.35">
      <c r="K951" s="2" t="s">
        <v>519</v>
      </c>
      <c r="L951" s="2" t="s">
        <v>152</v>
      </c>
      <c r="M951" s="2" t="s">
        <v>153</v>
      </c>
      <c r="N951" s="2" t="s">
        <v>193</v>
      </c>
      <c r="O951" s="2" t="s">
        <v>129</v>
      </c>
      <c r="P951" s="2">
        <v>5</v>
      </c>
    </row>
    <row r="952" spans="11:16" x14ac:dyDescent="0.35">
      <c r="K952" s="2" t="s">
        <v>519</v>
      </c>
      <c r="L952" s="2" t="s">
        <v>152</v>
      </c>
      <c r="M952" s="2" t="s">
        <v>153</v>
      </c>
      <c r="N952" s="2" t="s">
        <v>193</v>
      </c>
      <c r="O952" s="2" t="s">
        <v>47</v>
      </c>
      <c r="P952" s="2">
        <v>19</v>
      </c>
    </row>
    <row r="953" spans="11:16" x14ac:dyDescent="0.35">
      <c r="K953" s="2" t="s">
        <v>519</v>
      </c>
      <c r="L953" s="2" t="s">
        <v>152</v>
      </c>
      <c r="M953" s="2" t="s">
        <v>153</v>
      </c>
      <c r="N953" s="2" t="s">
        <v>193</v>
      </c>
      <c r="O953" s="2" t="s">
        <v>94</v>
      </c>
      <c r="P953" s="2">
        <v>6</v>
      </c>
    </row>
    <row r="954" spans="11:16" x14ac:dyDescent="0.35">
      <c r="K954" s="2" t="s">
        <v>519</v>
      </c>
      <c r="L954" s="2" t="s">
        <v>152</v>
      </c>
      <c r="M954" s="2" t="s">
        <v>153</v>
      </c>
      <c r="N954" s="2" t="s">
        <v>193</v>
      </c>
      <c r="O954" s="2" t="s">
        <v>29</v>
      </c>
      <c r="P954" s="2">
        <v>10</v>
      </c>
    </row>
    <row r="955" spans="11:16" x14ac:dyDescent="0.35">
      <c r="K955" s="2" t="s">
        <v>519</v>
      </c>
      <c r="L955" s="2" t="s">
        <v>152</v>
      </c>
      <c r="M955" s="2" t="s">
        <v>153</v>
      </c>
      <c r="N955" s="2" t="s">
        <v>193</v>
      </c>
      <c r="O955" s="2" t="s">
        <v>123</v>
      </c>
      <c r="P955" s="2">
        <v>38</v>
      </c>
    </row>
    <row r="956" spans="11:16" x14ac:dyDescent="0.35">
      <c r="K956" s="2" t="s">
        <v>519</v>
      </c>
      <c r="L956" s="2" t="s">
        <v>152</v>
      </c>
      <c r="M956" s="2" t="s">
        <v>153</v>
      </c>
      <c r="N956" s="2" t="s">
        <v>193</v>
      </c>
      <c r="O956" s="2" t="s">
        <v>82</v>
      </c>
      <c r="P956" s="2">
        <v>3</v>
      </c>
    </row>
    <row r="957" spans="11:16" x14ac:dyDescent="0.35">
      <c r="K957" s="2" t="s">
        <v>519</v>
      </c>
      <c r="L957" s="2" t="s">
        <v>152</v>
      </c>
      <c r="M957" s="2" t="s">
        <v>153</v>
      </c>
      <c r="N957" s="2" t="s">
        <v>193</v>
      </c>
      <c r="O957" s="2" t="s">
        <v>88</v>
      </c>
      <c r="P957" s="2">
        <v>3</v>
      </c>
    </row>
    <row r="958" spans="11:16" x14ac:dyDescent="0.35">
      <c r="K958" s="2" t="s">
        <v>519</v>
      </c>
      <c r="L958" s="2" t="s">
        <v>152</v>
      </c>
      <c r="M958" s="2" t="s">
        <v>153</v>
      </c>
      <c r="N958" s="2" t="s">
        <v>193</v>
      </c>
      <c r="O958" s="2" t="s">
        <v>141</v>
      </c>
      <c r="P958" s="2">
        <v>30</v>
      </c>
    </row>
    <row r="959" spans="11:16" x14ac:dyDescent="0.35">
      <c r="K959" s="2" t="s">
        <v>519</v>
      </c>
      <c r="L959" s="2" t="s">
        <v>152</v>
      </c>
      <c r="M959" s="2" t="s">
        <v>153</v>
      </c>
      <c r="N959" s="2" t="s">
        <v>193</v>
      </c>
      <c r="O959" s="2" t="s">
        <v>61</v>
      </c>
      <c r="P959" s="2">
        <v>19</v>
      </c>
    </row>
    <row r="960" spans="11:16" x14ac:dyDescent="0.35">
      <c r="K960" s="2" t="s">
        <v>519</v>
      </c>
      <c r="L960" s="2" t="s">
        <v>152</v>
      </c>
      <c r="M960" s="2" t="s">
        <v>153</v>
      </c>
      <c r="N960" s="2" t="s">
        <v>193</v>
      </c>
      <c r="O960" s="2" t="s">
        <v>100</v>
      </c>
      <c r="P960" s="2">
        <v>200</v>
      </c>
    </row>
    <row r="961" spans="11:16" x14ac:dyDescent="0.35">
      <c r="K961" s="2" t="s">
        <v>519</v>
      </c>
      <c r="L961" s="2" t="s">
        <v>152</v>
      </c>
      <c r="M961" s="2" t="s">
        <v>153</v>
      </c>
      <c r="N961" s="2" t="s">
        <v>193</v>
      </c>
      <c r="O961" s="2" t="s">
        <v>75</v>
      </c>
      <c r="P961" s="2">
        <v>48</v>
      </c>
    </row>
    <row r="962" spans="11:16" x14ac:dyDescent="0.35">
      <c r="K962" s="2" t="s">
        <v>519</v>
      </c>
      <c r="L962" s="2" t="s">
        <v>152</v>
      </c>
      <c r="M962" s="2" t="s">
        <v>153</v>
      </c>
      <c r="N962" s="2" t="s">
        <v>193</v>
      </c>
      <c r="O962" s="2" t="s">
        <v>106</v>
      </c>
      <c r="P962" s="2">
        <v>6</v>
      </c>
    </row>
    <row r="963" spans="11:16" x14ac:dyDescent="0.35">
      <c r="K963" s="2" t="s">
        <v>519</v>
      </c>
      <c r="L963" s="2" t="s">
        <v>152</v>
      </c>
      <c r="M963" s="2" t="s">
        <v>153</v>
      </c>
      <c r="N963" s="2" t="s">
        <v>193</v>
      </c>
      <c r="O963" s="2" t="s">
        <v>112</v>
      </c>
      <c r="P963" s="2">
        <v>21</v>
      </c>
    </row>
    <row r="964" spans="11:16" x14ac:dyDescent="0.35">
      <c r="K964" s="2" t="s">
        <v>519</v>
      </c>
      <c r="L964" s="2" t="s">
        <v>152</v>
      </c>
      <c r="M964" s="2" t="s">
        <v>153</v>
      </c>
      <c r="N964" s="2" t="s">
        <v>193</v>
      </c>
      <c r="O964" s="2" t="s">
        <v>36</v>
      </c>
      <c r="P964" s="2">
        <v>29</v>
      </c>
    </row>
    <row r="965" spans="11:16" x14ac:dyDescent="0.35">
      <c r="K965" s="2" t="s">
        <v>519</v>
      </c>
      <c r="L965" s="2" t="s">
        <v>164</v>
      </c>
      <c r="M965" s="2" t="s">
        <v>165</v>
      </c>
      <c r="N965" s="2" t="s">
        <v>193</v>
      </c>
      <c r="O965" s="2" t="s">
        <v>68</v>
      </c>
      <c r="P965" s="2">
        <v>558</v>
      </c>
    </row>
    <row r="966" spans="11:16" x14ac:dyDescent="0.35">
      <c r="K966" s="2" t="s">
        <v>519</v>
      </c>
      <c r="L966" s="2" t="s">
        <v>164</v>
      </c>
      <c r="M966" s="2" t="s">
        <v>165</v>
      </c>
      <c r="N966" s="2" t="s">
        <v>193</v>
      </c>
      <c r="O966" s="2" t="s">
        <v>135</v>
      </c>
      <c r="P966" s="2">
        <v>36</v>
      </c>
    </row>
    <row r="967" spans="11:16" x14ac:dyDescent="0.35">
      <c r="K967" s="2" t="s">
        <v>519</v>
      </c>
      <c r="L967" s="2" t="s">
        <v>164</v>
      </c>
      <c r="M967" s="2" t="s">
        <v>165</v>
      </c>
      <c r="N967" s="2" t="s">
        <v>193</v>
      </c>
      <c r="O967" s="2" t="s">
        <v>54</v>
      </c>
      <c r="P967" s="2">
        <v>160</v>
      </c>
    </row>
    <row r="968" spans="11:16" x14ac:dyDescent="0.35">
      <c r="K968" s="2" t="s">
        <v>519</v>
      </c>
      <c r="L968" s="2" t="s">
        <v>164</v>
      </c>
      <c r="M968" s="2" t="s">
        <v>165</v>
      </c>
      <c r="N968" s="2" t="s">
        <v>193</v>
      </c>
      <c r="O968" s="2" t="s">
        <v>129</v>
      </c>
      <c r="P968" s="2">
        <v>6</v>
      </c>
    </row>
    <row r="969" spans="11:16" x14ac:dyDescent="0.35">
      <c r="K969" s="2" t="s">
        <v>519</v>
      </c>
      <c r="L969" s="2" t="s">
        <v>164</v>
      </c>
      <c r="M969" s="2" t="s">
        <v>165</v>
      </c>
      <c r="N969" s="2" t="s">
        <v>193</v>
      </c>
      <c r="O969" s="2" t="s">
        <v>47</v>
      </c>
      <c r="P969" s="2">
        <v>15</v>
      </c>
    </row>
    <row r="970" spans="11:16" x14ac:dyDescent="0.35">
      <c r="K970" s="2" t="s">
        <v>519</v>
      </c>
      <c r="L970" s="2" t="s">
        <v>164</v>
      </c>
      <c r="M970" s="2" t="s">
        <v>165</v>
      </c>
      <c r="N970" s="2" t="s">
        <v>193</v>
      </c>
      <c r="O970" s="2" t="s">
        <v>94</v>
      </c>
      <c r="P970" s="2">
        <v>10</v>
      </c>
    </row>
    <row r="971" spans="11:16" x14ac:dyDescent="0.35">
      <c r="K971" s="2" t="s">
        <v>519</v>
      </c>
      <c r="L971" s="2" t="s">
        <v>164</v>
      </c>
      <c r="M971" s="2" t="s">
        <v>165</v>
      </c>
      <c r="N971" s="2" t="s">
        <v>193</v>
      </c>
      <c r="O971" s="2" t="s">
        <v>29</v>
      </c>
      <c r="P971" s="2">
        <v>13</v>
      </c>
    </row>
    <row r="972" spans="11:16" x14ac:dyDescent="0.35">
      <c r="K972" s="2" t="s">
        <v>519</v>
      </c>
      <c r="L972" s="2" t="s">
        <v>164</v>
      </c>
      <c r="M972" s="2" t="s">
        <v>165</v>
      </c>
      <c r="N972" s="2" t="s">
        <v>193</v>
      </c>
      <c r="O972" s="2" t="s">
        <v>123</v>
      </c>
      <c r="P972" s="2">
        <v>42</v>
      </c>
    </row>
    <row r="973" spans="11:16" x14ac:dyDescent="0.35">
      <c r="K973" s="2" t="s">
        <v>519</v>
      </c>
      <c r="L973" s="2" t="s">
        <v>164</v>
      </c>
      <c r="M973" s="2" t="s">
        <v>165</v>
      </c>
      <c r="N973" s="2" t="s">
        <v>193</v>
      </c>
      <c r="O973" s="2" t="s">
        <v>82</v>
      </c>
      <c r="P973" s="2">
        <v>4</v>
      </c>
    </row>
    <row r="974" spans="11:16" x14ac:dyDescent="0.35">
      <c r="K974" s="2" t="s">
        <v>519</v>
      </c>
      <c r="L974" s="2" t="s">
        <v>164</v>
      </c>
      <c r="M974" s="2" t="s">
        <v>165</v>
      </c>
      <c r="N974" s="2" t="s">
        <v>193</v>
      </c>
      <c r="O974" s="2" t="s">
        <v>88</v>
      </c>
      <c r="P974" s="2">
        <v>3</v>
      </c>
    </row>
    <row r="975" spans="11:16" x14ac:dyDescent="0.35">
      <c r="K975" s="2" t="s">
        <v>519</v>
      </c>
      <c r="L975" s="2" t="s">
        <v>164</v>
      </c>
      <c r="M975" s="2" t="s">
        <v>165</v>
      </c>
      <c r="N975" s="2" t="s">
        <v>193</v>
      </c>
      <c r="O975" s="2" t="s">
        <v>141</v>
      </c>
      <c r="P975" s="2">
        <v>42</v>
      </c>
    </row>
    <row r="976" spans="11:16" x14ac:dyDescent="0.35">
      <c r="K976" s="2" t="s">
        <v>519</v>
      </c>
      <c r="L976" s="2" t="s">
        <v>164</v>
      </c>
      <c r="M976" s="2" t="s">
        <v>165</v>
      </c>
      <c r="N976" s="2" t="s">
        <v>193</v>
      </c>
      <c r="O976" s="2" t="s">
        <v>61</v>
      </c>
      <c r="P976" s="2">
        <v>27</v>
      </c>
    </row>
    <row r="977" spans="11:16" x14ac:dyDescent="0.35">
      <c r="K977" s="2" t="s">
        <v>519</v>
      </c>
      <c r="L977" s="2" t="s">
        <v>164</v>
      </c>
      <c r="M977" s="2" t="s">
        <v>165</v>
      </c>
      <c r="N977" s="2" t="s">
        <v>193</v>
      </c>
      <c r="O977" s="2" t="s">
        <v>100</v>
      </c>
      <c r="P977" s="2">
        <v>228</v>
      </c>
    </row>
    <row r="978" spans="11:16" x14ac:dyDescent="0.35">
      <c r="K978" s="2" t="s">
        <v>519</v>
      </c>
      <c r="L978" s="2" t="s">
        <v>164</v>
      </c>
      <c r="M978" s="2" t="s">
        <v>165</v>
      </c>
      <c r="N978" s="2" t="s">
        <v>193</v>
      </c>
      <c r="O978" s="2" t="s">
        <v>75</v>
      </c>
      <c r="P978" s="2">
        <v>52</v>
      </c>
    </row>
    <row r="979" spans="11:16" x14ac:dyDescent="0.35">
      <c r="K979" s="2" t="s">
        <v>519</v>
      </c>
      <c r="L979" s="2" t="s">
        <v>164</v>
      </c>
      <c r="M979" s="2" t="s">
        <v>165</v>
      </c>
      <c r="N979" s="2" t="s">
        <v>193</v>
      </c>
      <c r="O979" s="2" t="s">
        <v>106</v>
      </c>
      <c r="P979" s="2">
        <v>19</v>
      </c>
    </row>
    <row r="980" spans="11:16" x14ac:dyDescent="0.35">
      <c r="K980" s="2" t="s">
        <v>519</v>
      </c>
      <c r="L980" s="2" t="s">
        <v>164</v>
      </c>
      <c r="M980" s="2" t="s">
        <v>165</v>
      </c>
      <c r="N980" s="2" t="s">
        <v>193</v>
      </c>
      <c r="O980" s="2" t="s">
        <v>112</v>
      </c>
      <c r="P980" s="2">
        <v>46</v>
      </c>
    </row>
    <row r="981" spans="11:16" x14ac:dyDescent="0.35">
      <c r="K981" s="2" t="s">
        <v>519</v>
      </c>
      <c r="L981" s="2" t="s">
        <v>164</v>
      </c>
      <c r="M981" s="2" t="s">
        <v>165</v>
      </c>
      <c r="N981" s="2" t="s">
        <v>193</v>
      </c>
      <c r="O981" s="2" t="s">
        <v>36</v>
      </c>
      <c r="P981" s="2">
        <v>49</v>
      </c>
    </row>
    <row r="982" spans="11:16" x14ac:dyDescent="0.35">
      <c r="K982" s="2" t="s">
        <v>519</v>
      </c>
      <c r="L982" s="2" t="s">
        <v>62</v>
      </c>
      <c r="M982" s="2" t="s">
        <v>63</v>
      </c>
      <c r="N982" s="2" t="s">
        <v>194</v>
      </c>
      <c r="O982" s="2" t="s">
        <v>68</v>
      </c>
      <c r="P982" s="2">
        <v>377</v>
      </c>
    </row>
    <row r="983" spans="11:16" x14ac:dyDescent="0.35">
      <c r="K983" s="2" t="s">
        <v>519</v>
      </c>
      <c r="L983" s="2" t="s">
        <v>62</v>
      </c>
      <c r="M983" s="2" t="s">
        <v>63</v>
      </c>
      <c r="N983" s="2" t="s">
        <v>194</v>
      </c>
      <c r="O983" s="2" t="s">
        <v>135</v>
      </c>
      <c r="P983" s="2">
        <v>20</v>
      </c>
    </row>
    <row r="984" spans="11:16" x14ac:dyDescent="0.35">
      <c r="K984" s="2" t="s">
        <v>519</v>
      </c>
      <c r="L984" s="2" t="s">
        <v>62</v>
      </c>
      <c r="M984" s="2" t="s">
        <v>63</v>
      </c>
      <c r="N984" s="2" t="s">
        <v>194</v>
      </c>
      <c r="O984" s="2" t="s">
        <v>54</v>
      </c>
      <c r="P984" s="2">
        <v>89</v>
      </c>
    </row>
    <row r="985" spans="11:16" x14ac:dyDescent="0.35">
      <c r="K985" s="2" t="s">
        <v>519</v>
      </c>
      <c r="L985" s="2" t="s">
        <v>62</v>
      </c>
      <c r="M985" s="2" t="s">
        <v>63</v>
      </c>
      <c r="N985" s="2" t="s">
        <v>194</v>
      </c>
      <c r="O985" s="2" t="s">
        <v>129</v>
      </c>
      <c r="P985" s="2">
        <v>3</v>
      </c>
    </row>
    <row r="986" spans="11:16" x14ac:dyDescent="0.35">
      <c r="K986" s="2" t="s">
        <v>519</v>
      </c>
      <c r="L986" s="2" t="s">
        <v>62</v>
      </c>
      <c r="M986" s="2" t="s">
        <v>63</v>
      </c>
      <c r="N986" s="2" t="s">
        <v>194</v>
      </c>
      <c r="O986" s="2" t="s">
        <v>47</v>
      </c>
      <c r="P986" s="2">
        <v>9</v>
      </c>
    </row>
    <row r="987" spans="11:16" x14ac:dyDescent="0.35">
      <c r="K987" s="2" t="s">
        <v>519</v>
      </c>
      <c r="L987" s="2" t="s">
        <v>62</v>
      </c>
      <c r="M987" s="2" t="s">
        <v>63</v>
      </c>
      <c r="N987" s="2" t="s">
        <v>194</v>
      </c>
      <c r="O987" s="2" t="s">
        <v>94</v>
      </c>
      <c r="P987" s="2">
        <v>12</v>
      </c>
    </row>
    <row r="988" spans="11:16" x14ac:dyDescent="0.35">
      <c r="K988" s="2" t="s">
        <v>519</v>
      </c>
      <c r="L988" s="2" t="s">
        <v>62</v>
      </c>
      <c r="M988" s="2" t="s">
        <v>63</v>
      </c>
      <c r="N988" s="2" t="s">
        <v>194</v>
      </c>
      <c r="O988" s="2" t="s">
        <v>29</v>
      </c>
      <c r="P988" s="2">
        <v>25</v>
      </c>
    </row>
    <row r="989" spans="11:16" x14ac:dyDescent="0.35">
      <c r="K989" s="2" t="s">
        <v>519</v>
      </c>
      <c r="L989" s="2" t="s">
        <v>62</v>
      </c>
      <c r="M989" s="2" t="s">
        <v>63</v>
      </c>
      <c r="N989" s="2" t="s">
        <v>194</v>
      </c>
      <c r="O989" s="2" t="s">
        <v>123</v>
      </c>
      <c r="P989" s="2">
        <v>220</v>
      </c>
    </row>
    <row r="990" spans="11:16" x14ac:dyDescent="0.35">
      <c r="K990" s="2" t="s">
        <v>519</v>
      </c>
      <c r="L990" s="2" t="s">
        <v>62</v>
      </c>
      <c r="M990" s="2" t="s">
        <v>63</v>
      </c>
      <c r="N990" s="2" t="s">
        <v>194</v>
      </c>
      <c r="O990" s="2" t="s">
        <v>82</v>
      </c>
      <c r="P990" s="2">
        <v>32</v>
      </c>
    </row>
    <row r="991" spans="11:16" x14ac:dyDescent="0.35">
      <c r="K991" s="2" t="s">
        <v>519</v>
      </c>
      <c r="L991" s="2" t="s">
        <v>62</v>
      </c>
      <c r="M991" s="2" t="s">
        <v>63</v>
      </c>
      <c r="N991" s="2" t="s">
        <v>194</v>
      </c>
      <c r="O991" s="2" t="s">
        <v>88</v>
      </c>
      <c r="P991" s="2">
        <v>9</v>
      </c>
    </row>
    <row r="992" spans="11:16" x14ac:dyDescent="0.35">
      <c r="K992" s="2" t="s">
        <v>519</v>
      </c>
      <c r="L992" s="2" t="s">
        <v>62</v>
      </c>
      <c r="M992" s="2" t="s">
        <v>63</v>
      </c>
      <c r="N992" s="2" t="s">
        <v>194</v>
      </c>
      <c r="O992" s="2" t="s">
        <v>141</v>
      </c>
      <c r="P992" s="2">
        <v>131</v>
      </c>
    </row>
    <row r="993" spans="11:16" x14ac:dyDescent="0.35">
      <c r="K993" s="2" t="s">
        <v>519</v>
      </c>
      <c r="L993" s="2" t="s">
        <v>62</v>
      </c>
      <c r="M993" s="2" t="s">
        <v>63</v>
      </c>
      <c r="N993" s="2" t="s">
        <v>194</v>
      </c>
      <c r="O993" s="2" t="s">
        <v>61</v>
      </c>
      <c r="P993" s="2">
        <v>32</v>
      </c>
    </row>
    <row r="994" spans="11:16" x14ac:dyDescent="0.35">
      <c r="K994" s="2" t="s">
        <v>519</v>
      </c>
      <c r="L994" s="2" t="s">
        <v>62</v>
      </c>
      <c r="M994" s="2" t="s">
        <v>63</v>
      </c>
      <c r="N994" s="2" t="s">
        <v>194</v>
      </c>
      <c r="O994" s="2" t="s">
        <v>100</v>
      </c>
      <c r="P994" s="2">
        <v>152</v>
      </c>
    </row>
    <row r="995" spans="11:16" x14ac:dyDescent="0.35">
      <c r="K995" s="2" t="s">
        <v>519</v>
      </c>
      <c r="L995" s="2" t="s">
        <v>62</v>
      </c>
      <c r="M995" s="2" t="s">
        <v>63</v>
      </c>
      <c r="N995" s="2" t="s">
        <v>194</v>
      </c>
      <c r="O995" s="2" t="s">
        <v>75</v>
      </c>
      <c r="P995" s="2">
        <v>40</v>
      </c>
    </row>
    <row r="996" spans="11:16" x14ac:dyDescent="0.35">
      <c r="K996" s="2" t="s">
        <v>519</v>
      </c>
      <c r="L996" s="2" t="s">
        <v>62</v>
      </c>
      <c r="M996" s="2" t="s">
        <v>63</v>
      </c>
      <c r="N996" s="2" t="s">
        <v>194</v>
      </c>
      <c r="O996" s="2" t="s">
        <v>106</v>
      </c>
      <c r="P996" s="2">
        <v>25</v>
      </c>
    </row>
    <row r="997" spans="11:16" x14ac:dyDescent="0.35">
      <c r="K997" s="2" t="s">
        <v>519</v>
      </c>
      <c r="L997" s="2" t="s">
        <v>62</v>
      </c>
      <c r="M997" s="2" t="s">
        <v>63</v>
      </c>
      <c r="N997" s="2" t="s">
        <v>194</v>
      </c>
      <c r="O997" s="2" t="s">
        <v>112</v>
      </c>
      <c r="P997" s="2">
        <v>71</v>
      </c>
    </row>
    <row r="998" spans="11:16" x14ac:dyDescent="0.35">
      <c r="K998" s="2" t="s">
        <v>519</v>
      </c>
      <c r="L998" s="2" t="s">
        <v>62</v>
      </c>
      <c r="M998" s="2" t="s">
        <v>63</v>
      </c>
      <c r="N998" s="2" t="s">
        <v>194</v>
      </c>
      <c r="O998" s="2" t="s">
        <v>36</v>
      </c>
      <c r="P998" s="2">
        <v>57</v>
      </c>
    </row>
    <row r="999" spans="11:16" x14ac:dyDescent="0.35">
      <c r="K999" s="2" t="s">
        <v>519</v>
      </c>
      <c r="L999" s="2" t="s">
        <v>76</v>
      </c>
      <c r="M999" s="2" t="s">
        <v>77</v>
      </c>
      <c r="N999" s="2" t="s">
        <v>194</v>
      </c>
      <c r="O999" s="2" t="s">
        <v>68</v>
      </c>
      <c r="P999" s="2">
        <v>1001</v>
      </c>
    </row>
    <row r="1000" spans="11:16" x14ac:dyDescent="0.35">
      <c r="K1000" s="2" t="s">
        <v>519</v>
      </c>
      <c r="L1000" s="2" t="s">
        <v>76</v>
      </c>
      <c r="M1000" s="2" t="s">
        <v>77</v>
      </c>
      <c r="N1000" s="2" t="s">
        <v>194</v>
      </c>
      <c r="O1000" s="2" t="s">
        <v>135</v>
      </c>
      <c r="P1000" s="2">
        <v>36</v>
      </c>
    </row>
    <row r="1001" spans="11:16" x14ac:dyDescent="0.35">
      <c r="K1001" s="2" t="s">
        <v>519</v>
      </c>
      <c r="L1001" s="2" t="s">
        <v>76</v>
      </c>
      <c r="M1001" s="2" t="s">
        <v>77</v>
      </c>
      <c r="N1001" s="2" t="s">
        <v>194</v>
      </c>
      <c r="O1001" s="2" t="s">
        <v>54</v>
      </c>
      <c r="P1001" s="2">
        <v>168</v>
      </c>
    </row>
    <row r="1002" spans="11:16" x14ac:dyDescent="0.35">
      <c r="K1002" s="2" t="s">
        <v>519</v>
      </c>
      <c r="L1002" s="2" t="s">
        <v>76</v>
      </c>
      <c r="M1002" s="2" t="s">
        <v>77</v>
      </c>
      <c r="N1002" s="2" t="s">
        <v>194</v>
      </c>
      <c r="O1002" s="2" t="s">
        <v>129</v>
      </c>
      <c r="P1002" s="2">
        <v>9</v>
      </c>
    </row>
    <row r="1003" spans="11:16" x14ac:dyDescent="0.35">
      <c r="K1003" s="2" t="s">
        <v>519</v>
      </c>
      <c r="L1003" s="2" t="s">
        <v>76</v>
      </c>
      <c r="M1003" s="2" t="s">
        <v>77</v>
      </c>
      <c r="N1003" s="2" t="s">
        <v>194</v>
      </c>
      <c r="O1003" s="2" t="s">
        <v>47</v>
      </c>
      <c r="P1003" s="2">
        <v>18</v>
      </c>
    </row>
    <row r="1004" spans="11:16" x14ac:dyDescent="0.35">
      <c r="K1004" s="2" t="s">
        <v>519</v>
      </c>
      <c r="L1004" s="2" t="s">
        <v>76</v>
      </c>
      <c r="M1004" s="2" t="s">
        <v>77</v>
      </c>
      <c r="N1004" s="2" t="s">
        <v>194</v>
      </c>
      <c r="O1004" s="2" t="s">
        <v>94</v>
      </c>
      <c r="P1004" s="2">
        <v>19</v>
      </c>
    </row>
  </sheetData>
  <hyperlinks>
    <hyperlink ref="A1" r:id="rId1" xr:uid="{0ADD49F8-BFC5-4912-ACD3-0F429B156129}"/>
  </hyperlinks>
  <pageMargins left="0.7" right="0.7" top="0.75" bottom="0.75" header="0.3" footer="0.3"/>
  <tableParts count="6">
    <tablePart r:id="rId2"/>
    <tablePart r:id="rId3"/>
    <tablePart r:id="rId4"/>
    <tablePart r:id="rId5"/>
    <tablePart r:id="rId6"/>
    <tablePart r:id="rId7"/>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AD308-DAF0-466D-A2F0-7D8107BBFE33}">
  <sheetPr>
    <tabColor theme="1"/>
  </sheetPr>
  <dimension ref="B2:P35"/>
  <sheetViews>
    <sheetView showGridLines="0" workbookViewId="0"/>
  </sheetViews>
  <sheetFormatPr defaultColWidth="8.54296875" defaultRowHeight="14.5" x14ac:dyDescent="0.35"/>
  <cols>
    <col min="1" max="2" width="8.54296875" style="2"/>
    <col min="3" max="3" width="12" style="2" customWidth="1"/>
    <col min="4" max="16384" width="8.54296875" style="2"/>
  </cols>
  <sheetData>
    <row r="2" spans="2:3" x14ac:dyDescent="0.35">
      <c r="B2" s="3" t="s">
        <v>525</v>
      </c>
      <c r="C2" s="18">
        <v>46108</v>
      </c>
    </row>
    <row r="23" spans="2:16" ht="26.25" customHeight="1" x14ac:dyDescent="0.35">
      <c r="B23" s="19" t="s">
        <v>526</v>
      </c>
    </row>
    <row r="24" spans="2:16" x14ac:dyDescent="0.35">
      <c r="B24" s="1" t="s">
        <v>527</v>
      </c>
      <c r="C24" s="20"/>
      <c r="D24" s="20" t="s">
        <v>528</v>
      </c>
      <c r="E24" s="20"/>
      <c r="F24" s="20"/>
      <c r="G24" s="20"/>
      <c r="H24" s="20"/>
      <c r="I24" s="20"/>
      <c r="J24" s="20"/>
      <c r="K24" s="20"/>
      <c r="L24" s="20"/>
      <c r="M24" s="20"/>
      <c r="N24" s="20"/>
      <c r="O24" s="20"/>
      <c r="P24" s="20"/>
    </row>
    <row r="25" spans="2:16" x14ac:dyDescent="0.35">
      <c r="B25" s="1" t="s">
        <v>632</v>
      </c>
      <c r="C25" s="20"/>
      <c r="D25" s="20" t="s">
        <v>528</v>
      </c>
      <c r="E25" s="20"/>
      <c r="F25" s="20"/>
      <c r="G25" s="20"/>
      <c r="H25" s="20"/>
      <c r="I25" s="20"/>
      <c r="J25" s="20"/>
      <c r="K25" s="20"/>
      <c r="L25" s="20"/>
      <c r="M25" s="20"/>
      <c r="N25" s="20"/>
      <c r="O25" s="20"/>
      <c r="P25" s="20"/>
    </row>
    <row r="26" spans="2:16" x14ac:dyDescent="0.35">
      <c r="B26" s="1" t="s">
        <v>633</v>
      </c>
      <c r="C26" s="20"/>
      <c r="D26" s="20" t="s">
        <v>528</v>
      </c>
      <c r="E26" s="20"/>
      <c r="F26" s="20"/>
      <c r="G26" s="20"/>
      <c r="H26" s="20"/>
      <c r="I26" s="20"/>
      <c r="J26" s="20"/>
      <c r="K26" s="20"/>
      <c r="L26" s="20"/>
      <c r="M26" s="20"/>
      <c r="N26" s="20"/>
      <c r="O26" s="20"/>
      <c r="P26" s="20"/>
    </row>
    <row r="27" spans="2:16" x14ac:dyDescent="0.35">
      <c r="B27" s="1" t="s">
        <v>634</v>
      </c>
      <c r="C27" s="20"/>
      <c r="D27" s="20" t="s">
        <v>528</v>
      </c>
      <c r="E27" s="20"/>
      <c r="F27" s="20"/>
      <c r="G27" s="20"/>
      <c r="H27" s="20"/>
      <c r="I27" s="20"/>
      <c r="J27" s="20"/>
      <c r="K27" s="20"/>
      <c r="L27" s="20"/>
      <c r="M27" s="20"/>
      <c r="N27" s="20"/>
      <c r="O27" s="20"/>
      <c r="P27" s="20"/>
    </row>
    <row r="28" spans="2:16" x14ac:dyDescent="0.35">
      <c r="B28" s="1" t="s">
        <v>616</v>
      </c>
      <c r="C28" s="20"/>
      <c r="D28" s="20" t="s">
        <v>617</v>
      </c>
      <c r="E28" s="20"/>
      <c r="F28" s="20"/>
      <c r="G28" s="20"/>
      <c r="H28" s="20"/>
      <c r="I28" s="20"/>
      <c r="J28" s="20"/>
      <c r="K28" s="20"/>
      <c r="L28" s="20"/>
      <c r="M28" s="20"/>
      <c r="N28" s="20"/>
      <c r="O28" s="20"/>
      <c r="P28" s="20"/>
    </row>
    <row r="29" spans="2:16" x14ac:dyDescent="0.35">
      <c r="B29" s="1" t="s">
        <v>529</v>
      </c>
      <c r="C29" s="20"/>
      <c r="D29" s="20" t="s">
        <v>530</v>
      </c>
      <c r="E29" s="20"/>
      <c r="F29" s="20"/>
      <c r="G29" s="20"/>
      <c r="H29" s="20"/>
      <c r="I29" s="20"/>
      <c r="J29" s="20"/>
      <c r="K29" s="20"/>
      <c r="L29" s="20"/>
      <c r="M29" s="20"/>
      <c r="N29" s="20"/>
      <c r="O29" s="20"/>
      <c r="P29" s="20"/>
    </row>
    <row r="30" spans="2:16" x14ac:dyDescent="0.35">
      <c r="B30" s="1" t="s">
        <v>531</v>
      </c>
      <c r="C30" s="20"/>
      <c r="D30" s="20" t="s">
        <v>532</v>
      </c>
      <c r="E30" s="20"/>
      <c r="F30" s="20"/>
      <c r="G30" s="20"/>
      <c r="H30" s="20"/>
      <c r="I30" s="20"/>
      <c r="J30" s="20"/>
      <c r="K30" s="20"/>
      <c r="L30" s="20"/>
      <c r="M30" s="20"/>
      <c r="N30" s="20"/>
      <c r="O30" s="20"/>
      <c r="P30" s="20"/>
    </row>
    <row r="31" spans="2:16" x14ac:dyDescent="0.35">
      <c r="B31" s="1" t="s">
        <v>635</v>
      </c>
      <c r="C31" s="20"/>
      <c r="D31" s="20" t="s">
        <v>532</v>
      </c>
      <c r="E31" s="20"/>
      <c r="F31" s="20"/>
      <c r="G31" s="20"/>
      <c r="H31" s="20"/>
      <c r="I31" s="20"/>
      <c r="J31" s="20"/>
      <c r="K31" s="20"/>
      <c r="L31" s="20"/>
      <c r="M31" s="20"/>
      <c r="N31" s="20"/>
      <c r="O31" s="20"/>
      <c r="P31" s="20"/>
    </row>
    <row r="32" spans="2:16" x14ac:dyDescent="0.35">
      <c r="B32" s="1" t="s">
        <v>636</v>
      </c>
      <c r="C32" s="20"/>
      <c r="D32" s="20" t="s">
        <v>532</v>
      </c>
      <c r="E32" s="20"/>
      <c r="F32" s="20"/>
      <c r="G32" s="20"/>
      <c r="H32" s="20"/>
      <c r="I32" s="20"/>
      <c r="J32" s="20"/>
      <c r="K32" s="20"/>
      <c r="L32" s="20"/>
      <c r="M32" s="20"/>
      <c r="N32" s="20"/>
      <c r="O32" s="20"/>
      <c r="P32" s="20"/>
    </row>
    <row r="33" spans="2:16" x14ac:dyDescent="0.35">
      <c r="B33" s="1" t="s">
        <v>637</v>
      </c>
      <c r="C33" s="20"/>
      <c r="D33" s="20" t="s">
        <v>532</v>
      </c>
      <c r="E33" s="20"/>
      <c r="F33" s="20"/>
      <c r="G33" s="20"/>
      <c r="H33" s="20"/>
      <c r="I33" s="20"/>
      <c r="J33" s="20"/>
      <c r="K33" s="20"/>
      <c r="L33" s="20"/>
      <c r="M33" s="20"/>
      <c r="N33" s="20"/>
      <c r="O33" s="20"/>
      <c r="P33" s="20"/>
    </row>
    <row r="34" spans="2:16" x14ac:dyDescent="0.35">
      <c r="B34" s="1" t="s">
        <v>533</v>
      </c>
      <c r="C34" s="20"/>
      <c r="D34" s="20" t="s">
        <v>534</v>
      </c>
      <c r="E34" s="20"/>
      <c r="F34" s="20"/>
      <c r="G34" s="20"/>
      <c r="H34" s="20"/>
      <c r="I34" s="20"/>
      <c r="J34" s="20"/>
      <c r="K34" s="20"/>
      <c r="L34" s="20"/>
      <c r="M34" s="20"/>
      <c r="N34" s="20"/>
      <c r="O34" s="20"/>
      <c r="P34" s="20"/>
    </row>
    <row r="35" spans="2:16" x14ac:dyDescent="0.35">
      <c r="B35" s="56" t="s">
        <v>535</v>
      </c>
      <c r="C35" s="20"/>
      <c r="D35" s="20" t="s">
        <v>536</v>
      </c>
      <c r="E35" s="20"/>
      <c r="F35" s="20"/>
      <c r="G35" s="20"/>
      <c r="H35" s="20"/>
      <c r="I35" s="20"/>
      <c r="J35" s="20"/>
      <c r="K35" s="20"/>
      <c r="L35" s="20"/>
      <c r="M35" s="20"/>
      <c r="N35" s="20"/>
      <c r="O35" s="20"/>
      <c r="P35" s="20"/>
    </row>
  </sheetData>
  <hyperlinks>
    <hyperlink ref="B30" location="COVER!A1" display="Staff_Detail" xr:uid="{29F09D4F-2B86-4570-B07C-C98FF7F666AD}"/>
    <hyperlink ref="B35" location="COVER!A1" display="Pivots" xr:uid="{6A464EB9-F287-43AA-86D2-1FDA8E453D3E}"/>
    <hyperlink ref="B24" location="'YoY Summary'!A1" display="YoY Summary" xr:uid="{315002B3-E1E0-4ED5-9101-CBB71CDE48A7}"/>
    <hyperlink ref="B29" location="'YoY Charts'!A1" display="YoY Charts" xr:uid="{CFE213AC-AFDD-4C7E-94C9-40DA794799A3}"/>
    <hyperlink ref="B34" location="'FL Location'!A1" display="FL Location" xr:uid="{67E94F02-479A-418E-B212-039B37C3AB53}"/>
    <hyperlink ref="B28" location="'YoY FL Weekly'!A1" display="YoY FL Weekly" xr:uid="{7A707FC2-982D-4351-B6E9-855DA596AE19}"/>
    <hyperlink ref="B25" location="'YoY Acute Summary'!A1" display="YoY Acute Summary" xr:uid="{146967E2-29FC-4947-8D01-5059357B685F}"/>
    <hyperlink ref="B26" location="'YoY MH+CH Summary'!A1" display="YoY MH+CH Summary" xr:uid="{1436A811-6FAF-49E4-AA15-005812F9F13B}"/>
    <hyperlink ref="B27" location="'YoY Specialist Summary'!A1" display="YoY Specialist Summary" xr:uid="{3D7F101A-6BE5-49C8-A884-BAF0C0555846}"/>
    <hyperlink ref="B31" location="'YoY FL Detail Acute'!A1" display="FL Staff Detail  Acute" xr:uid="{C5D0C98C-7B92-4F55-A050-C9738C975703}"/>
    <hyperlink ref="B32" location="'YoY FL Detail MH+CH'!A1" display="FL Staff Detail MH+CH" xr:uid="{7E3F6FEF-8032-497A-BEE8-025FA683233F}"/>
    <hyperlink ref="B33" location="'YoY FL Detail Specialist'!A1" display="FL Staff Detail Specialist" xr:uid="{387BE054-4181-4332-9407-2644986BB2A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DABD2-06D6-4B7C-B4F3-76E46B2F9A9A}">
  <sheetPr>
    <tabColor theme="8"/>
  </sheetPr>
  <dimension ref="B2:AC69"/>
  <sheetViews>
    <sheetView showGridLines="0" zoomScale="80" zoomScaleNormal="80" workbookViewId="0">
      <selection activeCell="V11" sqref="V11"/>
    </sheetView>
  </sheetViews>
  <sheetFormatPr defaultColWidth="8.54296875" defaultRowHeight="14.5" outlineLevelCol="1" x14ac:dyDescent="0.35"/>
  <cols>
    <col min="1" max="1" width="8.54296875" style="2"/>
    <col min="2" max="2" width="10.81640625" style="2" hidden="1" customWidth="1" outlineLevel="1"/>
    <col min="3" max="3" width="71.54296875" style="2" hidden="1" customWidth="1" outlineLevel="1"/>
    <col min="4" max="4" width="12.54296875" style="2" hidden="1" customWidth="1" outlineLevel="1"/>
    <col min="5" max="8" width="15.54296875" style="2" hidden="1" customWidth="1" outlineLevel="1"/>
    <col min="9" max="12" width="8.81640625" style="2" hidden="1" customWidth="1" outlineLevel="1"/>
    <col min="13" max="13" width="21.54296875" style="2" customWidth="1" collapsed="1"/>
    <col min="14" max="17" width="11.54296875" style="2" customWidth="1"/>
    <col min="18" max="18" width="0.81640625" style="2" customWidth="1"/>
    <col min="19" max="20" width="11.54296875" style="2" customWidth="1"/>
    <col min="21" max="21" width="2.81640625" style="2" customWidth="1"/>
    <col min="22" max="22" width="21.54296875" style="2" customWidth="1"/>
    <col min="23" max="26" width="11.54296875" style="2" customWidth="1"/>
    <col min="27" max="27" width="0.81640625" style="2" customWidth="1"/>
    <col min="28" max="29" width="11.54296875" style="2" customWidth="1"/>
    <col min="30" max="16384" width="8.54296875" style="2"/>
  </cols>
  <sheetData>
    <row r="2" spans="12:20" ht="26" x14ac:dyDescent="0.6">
      <c r="M2" s="11" t="s">
        <v>537</v>
      </c>
    </row>
    <row r="4" spans="12:20" ht="29.15" customHeight="1" x14ac:dyDescent="0.35">
      <c r="M4" s="16" t="s">
        <v>538</v>
      </c>
      <c r="N4" s="17" t="s">
        <v>539</v>
      </c>
      <c r="O4" s="17" t="s">
        <v>540</v>
      </c>
      <c r="P4" s="17" t="s">
        <v>541</v>
      </c>
      <c r="Q4" s="17" t="s">
        <v>542</v>
      </c>
      <c r="R4" s="27"/>
      <c r="S4" s="27"/>
      <c r="T4" s="27"/>
    </row>
    <row r="5" spans="12:20" x14ac:dyDescent="0.35">
      <c r="M5" s="5" t="s">
        <v>23</v>
      </c>
      <c r="N5" s="6">
        <f>SUMIFS(flu_eng[fl_staff],flu_eng[region],$M5)</f>
        <v>107277</v>
      </c>
      <c r="O5" s="6">
        <f>SUMIFS(flu_eng[fl_doses],flu_eng[region],$M5)</f>
        <v>52603</v>
      </c>
      <c r="P5" s="7">
        <f>O5/N5</f>
        <v>0.49034741836553969</v>
      </c>
      <c r="Q5" s="6">
        <f>N5-O5</f>
        <v>54674</v>
      </c>
      <c r="R5" s="23"/>
      <c r="S5" s="23"/>
      <c r="T5" s="23"/>
    </row>
    <row r="6" spans="12:20" x14ac:dyDescent="0.35">
      <c r="M6" s="5" t="s">
        <v>160</v>
      </c>
      <c r="N6" s="6">
        <f>SUMIFS(flu_eng[fl_staff],flu_eng[region],$M6)</f>
        <v>195649</v>
      </c>
      <c r="O6" s="6">
        <f>SUMIFS(flu_eng[fl_doses],flu_eng[region],$M6)</f>
        <v>77578</v>
      </c>
      <c r="P6" s="7">
        <f t="shared" ref="P6:P11" si="0">O6/N6</f>
        <v>0.39651621015185357</v>
      </c>
      <c r="Q6" s="6">
        <f t="shared" ref="Q6:Q11" si="1">N6-O6</f>
        <v>118071</v>
      </c>
      <c r="R6" s="23"/>
      <c r="S6" s="23"/>
      <c r="T6" s="23"/>
    </row>
    <row r="7" spans="12:20" x14ac:dyDescent="0.35">
      <c r="M7" s="5" t="s">
        <v>197</v>
      </c>
      <c r="N7" s="6">
        <f>SUMIFS(flu_eng[fl_staff],flu_eng[region],$M7)</f>
        <v>230014</v>
      </c>
      <c r="O7" s="6">
        <f>SUMIFS(flu_eng[fl_doses],flu_eng[region],$M7)</f>
        <v>104747</v>
      </c>
      <c r="P7" s="7">
        <f t="shared" si="0"/>
        <v>0.45539401949446556</v>
      </c>
      <c r="Q7" s="6">
        <f t="shared" si="1"/>
        <v>125267</v>
      </c>
      <c r="R7" s="23"/>
      <c r="S7" s="23"/>
      <c r="T7" s="23"/>
    </row>
    <row r="8" spans="12:20" x14ac:dyDescent="0.35">
      <c r="M8" s="5" t="s">
        <v>278</v>
      </c>
      <c r="N8" s="6">
        <f>SUMIFS(flu_eng[fl_staff],flu_eng[region],$M8)</f>
        <v>189359</v>
      </c>
      <c r="O8" s="6">
        <f>SUMIFS(flu_eng[fl_doses],flu_eng[region],$M8)</f>
        <v>98810</v>
      </c>
      <c r="P8" s="7">
        <f t="shared" si="0"/>
        <v>0.52181306407406036</v>
      </c>
      <c r="Q8" s="6">
        <f t="shared" si="1"/>
        <v>90549</v>
      </c>
      <c r="R8" s="23"/>
      <c r="S8" s="23"/>
      <c r="T8" s="23"/>
    </row>
    <row r="9" spans="12:20" x14ac:dyDescent="0.35">
      <c r="M9" s="5" t="s">
        <v>345</v>
      </c>
      <c r="N9" s="6">
        <f>SUMIFS(flu_eng[fl_staff],flu_eng[region],$M9)</f>
        <v>160229</v>
      </c>
      <c r="O9" s="6">
        <f>SUMIFS(flu_eng[fl_doses],flu_eng[region],$M9)</f>
        <v>73467</v>
      </c>
      <c r="P9" s="7">
        <f t="shared" si="0"/>
        <v>0.45851250397868054</v>
      </c>
      <c r="Q9" s="6">
        <f t="shared" si="1"/>
        <v>86762</v>
      </c>
      <c r="R9" s="23"/>
      <c r="S9" s="23"/>
      <c r="T9" s="23"/>
    </row>
    <row r="10" spans="12:20" x14ac:dyDescent="0.35">
      <c r="M10" s="5" t="s">
        <v>407</v>
      </c>
      <c r="N10" s="6">
        <f>SUMIFS(flu_eng[fl_staff],flu_eng[region],$M10)</f>
        <v>144874</v>
      </c>
      <c r="O10" s="6">
        <f>SUMIFS(flu_eng[fl_doses],flu_eng[region],$M10)</f>
        <v>75532</v>
      </c>
      <c r="P10" s="7">
        <f t="shared" si="0"/>
        <v>0.52136339163687062</v>
      </c>
      <c r="Q10" s="6">
        <f t="shared" si="1"/>
        <v>69342</v>
      </c>
      <c r="R10" s="23"/>
      <c r="S10" s="23"/>
      <c r="T10" s="23"/>
    </row>
    <row r="11" spans="12:20" x14ac:dyDescent="0.35">
      <c r="M11" s="5" t="s">
        <v>464</v>
      </c>
      <c r="N11" s="6">
        <f>SUMIFS(flu_eng[fl_staff],flu_eng[region],$M11)</f>
        <v>118676</v>
      </c>
      <c r="O11" s="6">
        <f>SUMIFS(flu_eng[fl_doses],flu_eng[region],$M11)</f>
        <v>65131</v>
      </c>
      <c r="P11" s="7">
        <f t="shared" si="0"/>
        <v>0.5488135764602784</v>
      </c>
      <c r="Q11" s="6">
        <f t="shared" si="1"/>
        <v>53545</v>
      </c>
      <c r="R11" s="23"/>
      <c r="S11" s="23"/>
      <c r="T11" s="23"/>
    </row>
    <row r="12" spans="12:20" x14ac:dyDescent="0.35">
      <c r="M12" s="8" t="s">
        <v>543</v>
      </c>
      <c r="N12" s="9">
        <f>SUM(N5:N11)</f>
        <v>1146078</v>
      </c>
      <c r="O12" s="9">
        <f>SUM(O5:O11)</f>
        <v>547868</v>
      </c>
      <c r="P12" s="10">
        <f>O12/N12</f>
        <v>0.4780372714597087</v>
      </c>
      <c r="Q12" s="9">
        <f>SUM(Q5:Q11)</f>
        <v>598210</v>
      </c>
      <c r="R12" s="26"/>
      <c r="S12" s="26"/>
      <c r="T12" s="26"/>
    </row>
    <row r="14" spans="12:20" ht="29.15" customHeight="1" x14ac:dyDescent="0.35">
      <c r="M14" s="16" t="s">
        <v>544</v>
      </c>
      <c r="N14" s="17" t="s">
        <v>539</v>
      </c>
      <c r="O14" s="17" t="s">
        <v>540</v>
      </c>
      <c r="P14" s="17" t="s">
        <v>541</v>
      </c>
      <c r="Q14" s="17" t="s">
        <v>542</v>
      </c>
      <c r="R14" s="27"/>
      <c r="S14" s="27"/>
      <c r="T14" s="27"/>
    </row>
    <row r="15" spans="12:20" x14ac:dyDescent="0.35">
      <c r="L15" s="15"/>
      <c r="M15" s="5" t="s">
        <v>27</v>
      </c>
      <c r="N15" s="6">
        <f>SUMIFS(flu_eng[fl_staff],flu_eng[icb],$M15)</f>
        <v>48369</v>
      </c>
      <c r="O15" s="6">
        <f>SUMIFS(flu_eng[fl_doses],flu_eng[icb],$M15)</f>
        <v>19234</v>
      </c>
      <c r="P15" s="7">
        <f>O15/N15</f>
        <v>0.39765138828588559</v>
      </c>
      <c r="Q15" s="6">
        <f>N15-O15</f>
        <v>29135</v>
      </c>
      <c r="R15" s="23"/>
      <c r="S15" s="23"/>
      <c r="T15" s="23"/>
    </row>
    <row r="16" spans="12:20" x14ac:dyDescent="0.35">
      <c r="L16" s="15"/>
      <c r="M16" s="5" t="s">
        <v>190</v>
      </c>
      <c r="N16" s="6">
        <f>SUMIFS(flu_eng[fl_staff],flu_eng[icb],$M16)</f>
        <v>45247</v>
      </c>
      <c r="O16" s="6">
        <f>SUMIFS(flu_eng[fl_doses],flu_eng[icb],$M16)</f>
        <v>16091</v>
      </c>
      <c r="P16" s="7">
        <f t="shared" ref="P16:P19" si="2">O16/N16</f>
        <v>0.35562578734501737</v>
      </c>
      <c r="Q16" s="6">
        <f t="shared" ref="Q16:Q20" si="3">N16-O16</f>
        <v>29156</v>
      </c>
      <c r="R16" s="23"/>
      <c r="S16" s="23"/>
      <c r="T16" s="23"/>
    </row>
    <row r="17" spans="2:29" x14ac:dyDescent="0.35">
      <c r="L17" s="15"/>
      <c r="M17" s="5" t="s">
        <v>192</v>
      </c>
      <c r="N17" s="6">
        <f>SUMIFS(flu_eng[fl_staff],flu_eng[icb],$M17)</f>
        <v>35814</v>
      </c>
      <c r="O17" s="6">
        <f>SUMIFS(flu_eng[fl_doses],flu_eng[icb],$M17)</f>
        <v>14187</v>
      </c>
      <c r="P17" s="7">
        <f t="shared" si="2"/>
        <v>0.39613000502596751</v>
      </c>
      <c r="Q17" s="6">
        <f t="shared" si="3"/>
        <v>21627</v>
      </c>
      <c r="R17" s="23"/>
      <c r="S17" s="23"/>
      <c r="T17" s="23"/>
    </row>
    <row r="18" spans="2:29" x14ac:dyDescent="0.35">
      <c r="L18" s="15"/>
      <c r="M18" s="5" t="s">
        <v>193</v>
      </c>
      <c r="N18" s="6">
        <f>SUMIFS(flu_eng[fl_staff],flu_eng[icb],$M18)</f>
        <v>40423</v>
      </c>
      <c r="O18" s="6">
        <f>SUMIFS(flu_eng[fl_doses],flu_eng[icb],$M18)</f>
        <v>17031</v>
      </c>
      <c r="P18" s="7">
        <f t="shared" si="2"/>
        <v>0.42131954580313186</v>
      </c>
      <c r="Q18" s="6">
        <f t="shared" si="3"/>
        <v>23392</v>
      </c>
      <c r="R18" s="23"/>
      <c r="S18" s="23"/>
      <c r="T18" s="23"/>
    </row>
    <row r="19" spans="2:29" x14ac:dyDescent="0.35">
      <c r="L19" s="15"/>
      <c r="M19" s="5" t="s">
        <v>194</v>
      </c>
      <c r="N19" s="6">
        <f>SUMIFS(flu_eng[fl_staff],flu_eng[icb],$M19)</f>
        <v>25796</v>
      </c>
      <c r="O19" s="6">
        <f>SUMIFS(flu_eng[fl_doses],flu_eng[icb],$M19)</f>
        <v>11035</v>
      </c>
      <c r="P19" s="7">
        <f t="shared" si="2"/>
        <v>0.42777950069778259</v>
      </c>
      <c r="Q19" s="6">
        <f t="shared" si="3"/>
        <v>14761</v>
      </c>
      <c r="R19" s="23"/>
      <c r="S19" s="23"/>
      <c r="T19" s="23"/>
    </row>
    <row r="20" spans="2:29" x14ac:dyDescent="0.35">
      <c r="M20" s="8" t="s">
        <v>160</v>
      </c>
      <c r="N20" s="9">
        <f>SUM(N13:N19)</f>
        <v>195649</v>
      </c>
      <c r="O20" s="9">
        <f>SUM(O13:O19)</f>
        <v>77578</v>
      </c>
      <c r="P20" s="10">
        <f>O20/N20</f>
        <v>0.39651621015185357</v>
      </c>
      <c r="Q20" s="9">
        <f t="shared" si="3"/>
        <v>118071</v>
      </c>
      <c r="R20" s="26"/>
      <c r="S20" s="26"/>
      <c r="T20" s="26"/>
    </row>
    <row r="22" spans="2:29" x14ac:dyDescent="0.35">
      <c r="M22" s="3" t="s">
        <v>545</v>
      </c>
      <c r="V22" s="3" t="s">
        <v>546</v>
      </c>
    </row>
    <row r="23" spans="2:29" ht="46" customHeight="1" x14ac:dyDescent="0.35">
      <c r="B23" s="4" t="s">
        <v>18</v>
      </c>
      <c r="C23" s="4" t="s">
        <v>19</v>
      </c>
      <c r="D23" s="4" t="s">
        <v>20</v>
      </c>
      <c r="E23" s="4" t="s">
        <v>547</v>
      </c>
      <c r="F23" s="4" t="s">
        <v>540</v>
      </c>
      <c r="G23" s="4" t="s">
        <v>541</v>
      </c>
      <c r="H23" s="25" t="s">
        <v>548</v>
      </c>
      <c r="M23" s="16" t="s">
        <v>549</v>
      </c>
      <c r="N23" s="17" t="s">
        <v>539</v>
      </c>
      <c r="O23" s="17" t="s">
        <v>540</v>
      </c>
      <c r="P23" s="17" t="s">
        <v>541</v>
      </c>
      <c r="Q23" s="17" t="s">
        <v>542</v>
      </c>
      <c r="R23" s="27"/>
      <c r="S23" s="29" t="s">
        <v>550</v>
      </c>
      <c r="T23" s="29" t="s">
        <v>551</v>
      </c>
      <c r="V23" s="16" t="s">
        <v>549</v>
      </c>
      <c r="W23" s="17" t="s">
        <v>539</v>
      </c>
      <c r="X23" s="17" t="s">
        <v>540</v>
      </c>
      <c r="Y23" s="17" t="s">
        <v>541</v>
      </c>
      <c r="Z23" s="17" t="s">
        <v>542</v>
      </c>
      <c r="AA23" s="27"/>
      <c r="AB23" s="29" t="s">
        <v>550</v>
      </c>
      <c r="AC23" s="29" t="s">
        <v>551</v>
      </c>
    </row>
    <row r="24" spans="2:29" x14ac:dyDescent="0.35">
      <c r="B24" s="5" t="s">
        <v>30</v>
      </c>
      <c r="C24" s="5" t="s">
        <v>31</v>
      </c>
      <c r="D24" s="5" t="s">
        <v>32</v>
      </c>
      <c r="E24" s="6">
        <f>SUMIFS(flu_eng[fl_staff],flu_eng[trust_code],$B24)</f>
        <v>6967</v>
      </c>
      <c r="F24" s="6">
        <f>SUMIFS(flu_eng[fl_doses],flu_eng[trust_code],$B24)</f>
        <v>2747</v>
      </c>
      <c r="G24" s="7">
        <f t="shared" ref="G24" si="4">F24/E24</f>
        <v>0.39428735467202525</v>
      </c>
      <c r="H24" s="7">
        <f>SUMIFS(flu_eng[fl_5%_target],flu_eng[trust_code],$B24)</f>
        <v>0.48913520299999902</v>
      </c>
      <c r="I24" s="2">
        <f t="shared" ref="I24:I55" si="5">_xlfn.RANK.EQ(G24,$G$24:$G$55,0)</f>
        <v>18</v>
      </c>
      <c r="K24" s="2">
        <v>1</v>
      </c>
      <c r="M24" s="5" t="str">
        <f t="shared" ref="M24:M55" si="6">INDEX(D$24:D$55,MATCH($K24,$I$24:$I$55,0))</f>
        <v>GOSH</v>
      </c>
      <c r="N24" s="6">
        <f t="shared" ref="N24:N55" si="7">INDEX(E$24:E$55,MATCH($K24,$I$24:$I$55,0))</f>
        <v>3938</v>
      </c>
      <c r="O24" s="6">
        <f t="shared" ref="O24:O55" si="8">INDEX(F$24:F$55,MATCH($K24,$I$24:$I$55,0))</f>
        <v>2216</v>
      </c>
      <c r="P24" s="7">
        <f>O24/N24</f>
        <v>0.56272219400711021</v>
      </c>
      <c r="Q24" s="6">
        <f>N24-O24</f>
        <v>1722</v>
      </c>
      <c r="R24" s="23"/>
      <c r="S24" s="30">
        <f>INDEX(H$24:H$55,MATCH($K24,$I$24:$I$55,0))</f>
        <v>0.50961783400000005</v>
      </c>
      <c r="T24" s="28">
        <f>(N24*S24)-O24</f>
        <v>-209.12496970799975</v>
      </c>
      <c r="V24" s="5" t="str">
        <f>D24</f>
        <v>BHR</v>
      </c>
      <c r="W24" s="6">
        <f>E24</f>
        <v>6967</v>
      </c>
      <c r="X24" s="6">
        <f>F24</f>
        <v>2747</v>
      </c>
      <c r="Y24" s="7">
        <f>G24</f>
        <v>0.39428735467202525</v>
      </c>
      <c r="Z24" s="6">
        <f>W24-X24</f>
        <v>4220</v>
      </c>
      <c r="AA24" s="23"/>
      <c r="AB24" s="30">
        <f>H24</f>
        <v>0.48913520299999902</v>
      </c>
      <c r="AC24" s="28">
        <f>(W24*AB24)-X24</f>
        <v>660.80495930099323</v>
      </c>
    </row>
    <row r="25" spans="2:29" x14ac:dyDescent="0.35">
      <c r="B25" s="5" t="s">
        <v>37</v>
      </c>
      <c r="C25" s="5" t="s">
        <v>38</v>
      </c>
      <c r="D25" s="5" t="s">
        <v>39</v>
      </c>
      <c r="E25" s="6">
        <f>SUMIFS(flu_eng[fl_staff],flu_eng[trust_code],$B25)</f>
        <v>21424</v>
      </c>
      <c r="F25" s="6">
        <f>SUMIFS(flu_eng[fl_doses],flu_eng[trust_code],$B25)</f>
        <v>7389</v>
      </c>
      <c r="G25" s="7">
        <f t="shared" ref="G25:G55" si="9">F25/E25</f>
        <v>0.34489357729648989</v>
      </c>
      <c r="H25" s="7">
        <f>SUMIFS(flu_eng[fl_5%_target],flu_eng[trust_code],$B25)</f>
        <v>0.321445602</v>
      </c>
      <c r="I25" s="2">
        <f t="shared" si="5"/>
        <v>27</v>
      </c>
      <c r="K25" s="2">
        <v>2</v>
      </c>
      <c r="M25" s="5" t="str">
        <f t="shared" si="6"/>
        <v>Moorfields</v>
      </c>
      <c r="N25" s="6">
        <f t="shared" si="7"/>
        <v>1777</v>
      </c>
      <c r="O25" s="6">
        <f t="shared" si="8"/>
        <v>904</v>
      </c>
      <c r="P25" s="7">
        <f t="shared" ref="P25:P55" si="10">O25/N25</f>
        <v>0.50872256612267863</v>
      </c>
      <c r="Q25" s="6">
        <f t="shared" ref="Q25:Q55" si="11">N25-O25</f>
        <v>873</v>
      </c>
      <c r="R25" s="23"/>
      <c r="S25" s="30">
        <f t="shared" ref="S25:S55" si="12">INDEX(H$24:H$55,MATCH($K25,$I$24:$I$55,0))</f>
        <v>0.52152480099999998</v>
      </c>
      <c r="T25" s="28">
        <f t="shared" ref="T25:T55" si="13">(N25*S25)-O25</f>
        <v>22.749571376999938</v>
      </c>
      <c r="V25" s="5" t="str">
        <f t="shared" ref="V25:V55" si="14">D25</f>
        <v>Barts</v>
      </c>
      <c r="W25" s="6">
        <f t="shared" ref="W25:W55" si="15">E25</f>
        <v>21424</v>
      </c>
      <c r="X25" s="6">
        <f t="shared" ref="X25:X55" si="16">F25</f>
        <v>7389</v>
      </c>
      <c r="Y25" s="7">
        <f t="shared" ref="Y25:Y55" si="17">G25</f>
        <v>0.34489357729648989</v>
      </c>
      <c r="Z25" s="6">
        <f t="shared" ref="Z25:Z55" si="18">W25-X25</f>
        <v>14035</v>
      </c>
      <c r="AA25" s="23"/>
      <c r="AB25" s="30">
        <f t="shared" ref="AB25:AB55" si="19">H25</f>
        <v>0.321445602</v>
      </c>
      <c r="AC25" s="28">
        <f t="shared" ref="AC25:AC55" si="20">(W25*AB25)-X25</f>
        <v>-502.34942275200046</v>
      </c>
    </row>
    <row r="26" spans="2:29" x14ac:dyDescent="0.35">
      <c r="B26" s="5" t="s">
        <v>25</v>
      </c>
      <c r="C26" s="5" t="s">
        <v>26</v>
      </c>
      <c r="D26" s="5" t="s">
        <v>43</v>
      </c>
      <c r="E26" s="6">
        <f>SUMIFS(flu_eng[fl_staff],flu_eng[trust_code],$B26)</f>
        <v>5880</v>
      </c>
      <c r="F26" s="6">
        <f>SUMIFS(flu_eng[fl_doses],flu_eng[trust_code],$B26)</f>
        <v>2008</v>
      </c>
      <c r="G26" s="7">
        <f t="shared" si="9"/>
        <v>0.34149659863945581</v>
      </c>
      <c r="H26" s="7">
        <f>SUMIFS(flu_eng[fl_5%_target],flu_eng[trust_code],$B26)</f>
        <v>0.34768177</v>
      </c>
      <c r="I26" s="2">
        <f t="shared" si="5"/>
        <v>29</v>
      </c>
      <c r="K26" s="2">
        <v>3</v>
      </c>
      <c r="M26" s="5" t="str">
        <f t="shared" si="6"/>
        <v>LAS</v>
      </c>
      <c r="N26" s="6">
        <f t="shared" si="7"/>
        <v>3706</v>
      </c>
      <c r="O26" s="6">
        <f t="shared" si="8"/>
        <v>1852</v>
      </c>
      <c r="P26" s="7">
        <f t="shared" si="10"/>
        <v>0.49973016729627628</v>
      </c>
      <c r="Q26" s="6">
        <f t="shared" si="11"/>
        <v>1854</v>
      </c>
      <c r="R26" s="23"/>
      <c r="S26" s="30">
        <f t="shared" si="12"/>
        <v>0.46653786699999999</v>
      </c>
      <c r="T26" s="28">
        <f t="shared" si="13"/>
        <v>-123.01066489799996</v>
      </c>
      <c r="V26" s="5" t="str">
        <f t="shared" si="14"/>
        <v>CNWL</v>
      </c>
      <c r="W26" s="6">
        <f t="shared" si="15"/>
        <v>5880</v>
      </c>
      <c r="X26" s="6">
        <f t="shared" si="16"/>
        <v>2008</v>
      </c>
      <c r="Y26" s="7">
        <f t="shared" si="17"/>
        <v>0.34149659863945581</v>
      </c>
      <c r="Z26" s="6">
        <f t="shared" si="18"/>
        <v>3872</v>
      </c>
      <c r="AA26" s="23"/>
      <c r="AB26" s="30">
        <f t="shared" si="19"/>
        <v>0.34768177</v>
      </c>
      <c r="AC26" s="28">
        <f t="shared" si="20"/>
        <v>36.368807600000082</v>
      </c>
    </row>
    <row r="27" spans="2:29" x14ac:dyDescent="0.35">
      <c r="B27" s="5" t="s">
        <v>48</v>
      </c>
      <c r="C27" s="5" t="s">
        <v>49</v>
      </c>
      <c r="D27" s="5" t="s">
        <v>50</v>
      </c>
      <c r="E27" s="6">
        <f>SUMIFS(flu_eng[fl_staff],flu_eng[trust_code],$B27)</f>
        <v>4119</v>
      </c>
      <c r="F27" s="6">
        <f>SUMIFS(flu_eng[fl_doses],flu_eng[trust_code],$B27)</f>
        <v>1540</v>
      </c>
      <c r="G27" s="7">
        <f t="shared" si="9"/>
        <v>0.37387715464918669</v>
      </c>
      <c r="H27" s="7">
        <f>SUMIFS(flu_eng[fl_5%_target],flu_eng[trust_code],$B27)</f>
        <v>0.34633582400000001</v>
      </c>
      <c r="I27" s="2">
        <f t="shared" si="5"/>
        <v>21</v>
      </c>
      <c r="K27" s="2">
        <v>4</v>
      </c>
      <c r="M27" s="5" t="str">
        <f t="shared" si="6"/>
        <v>Marsden</v>
      </c>
      <c r="N27" s="6">
        <f t="shared" si="7"/>
        <v>3385</v>
      </c>
      <c r="O27" s="6">
        <f t="shared" si="8"/>
        <v>1581</v>
      </c>
      <c r="P27" s="7">
        <f t="shared" si="10"/>
        <v>0.46706056129985229</v>
      </c>
      <c r="Q27" s="6">
        <f t="shared" si="11"/>
        <v>1804</v>
      </c>
      <c r="R27" s="23"/>
      <c r="S27" s="30">
        <f t="shared" si="12"/>
        <v>0.483480454</v>
      </c>
      <c r="T27" s="28">
        <f t="shared" si="13"/>
        <v>55.581336790000023</v>
      </c>
      <c r="V27" s="5" t="str">
        <f t="shared" si="14"/>
        <v>CLCH</v>
      </c>
      <c r="W27" s="6">
        <f t="shared" si="15"/>
        <v>4119</v>
      </c>
      <c r="X27" s="6">
        <f t="shared" si="16"/>
        <v>1540</v>
      </c>
      <c r="Y27" s="7">
        <f t="shared" si="17"/>
        <v>0.37387715464918669</v>
      </c>
      <c r="Z27" s="6">
        <f t="shared" si="18"/>
        <v>2579</v>
      </c>
      <c r="AA27" s="23"/>
      <c r="AB27" s="30">
        <f t="shared" si="19"/>
        <v>0.34633582400000001</v>
      </c>
      <c r="AC27" s="28">
        <f t="shared" si="20"/>
        <v>-113.44274094399998</v>
      </c>
    </row>
    <row r="28" spans="2:29" x14ac:dyDescent="0.35">
      <c r="B28" s="5" t="s">
        <v>55</v>
      </c>
      <c r="C28" s="5" t="s">
        <v>56</v>
      </c>
      <c r="D28" s="5" t="s">
        <v>57</v>
      </c>
      <c r="E28" s="6">
        <f>SUMIFS(flu_eng[fl_staff],flu_eng[trust_code],$B28)</f>
        <v>4897</v>
      </c>
      <c r="F28" s="6">
        <f>SUMIFS(flu_eng[fl_doses],flu_eng[trust_code],$B28)</f>
        <v>2171</v>
      </c>
      <c r="G28" s="7">
        <f t="shared" si="9"/>
        <v>0.44333265264447619</v>
      </c>
      <c r="H28" s="7">
        <f>SUMIFS(flu_eng[fl_5%_target],flu_eng[trust_code],$B28)</f>
        <v>0.42991803299999998</v>
      </c>
      <c r="I28" s="2">
        <f t="shared" si="5"/>
        <v>10</v>
      </c>
      <c r="K28" s="2">
        <v>5</v>
      </c>
      <c r="M28" s="5" t="str">
        <f t="shared" si="6"/>
        <v>King's</v>
      </c>
      <c r="N28" s="6">
        <f t="shared" si="7"/>
        <v>9537</v>
      </c>
      <c r="O28" s="6">
        <f t="shared" si="8"/>
        <v>4420</v>
      </c>
      <c r="P28" s="7">
        <f t="shared" si="10"/>
        <v>0.46345811051693403</v>
      </c>
      <c r="Q28" s="6">
        <f t="shared" si="11"/>
        <v>5117</v>
      </c>
      <c r="R28" s="23"/>
      <c r="S28" s="30">
        <f t="shared" si="12"/>
        <v>0.45879828299999997</v>
      </c>
      <c r="T28" s="28">
        <f t="shared" si="13"/>
        <v>-44.440775029000179</v>
      </c>
      <c r="V28" s="5" t="str">
        <f t="shared" si="14"/>
        <v>ChelWest</v>
      </c>
      <c r="W28" s="6">
        <f t="shared" si="15"/>
        <v>4897</v>
      </c>
      <c r="X28" s="6">
        <f t="shared" si="16"/>
        <v>2171</v>
      </c>
      <c r="Y28" s="7">
        <f t="shared" si="17"/>
        <v>0.44333265264447619</v>
      </c>
      <c r="Z28" s="6">
        <f t="shared" si="18"/>
        <v>2726</v>
      </c>
      <c r="AA28" s="23"/>
      <c r="AB28" s="30">
        <f t="shared" si="19"/>
        <v>0.42991803299999998</v>
      </c>
      <c r="AC28" s="28">
        <f t="shared" si="20"/>
        <v>-65.691392399000051</v>
      </c>
    </row>
    <row r="29" spans="2:29" x14ac:dyDescent="0.35">
      <c r="B29" s="5" t="s">
        <v>62</v>
      </c>
      <c r="C29" s="5" t="s">
        <v>63</v>
      </c>
      <c r="D29" s="5" t="s">
        <v>64</v>
      </c>
      <c r="E29" s="6">
        <f>SUMIFS(flu_eng[fl_staff],flu_eng[trust_code],$B29)</f>
        <v>3345</v>
      </c>
      <c r="F29" s="6">
        <f>SUMIFS(flu_eng[fl_doses],flu_eng[trust_code],$B29)</f>
        <v>1350</v>
      </c>
      <c r="G29" s="7">
        <f t="shared" si="9"/>
        <v>0.40358744394618834</v>
      </c>
      <c r="H29" s="7">
        <f>SUMIFS(flu_eng[fl_5%_target],flu_eng[trust_code],$B29)</f>
        <v>0.45672782899999997</v>
      </c>
      <c r="I29" s="2">
        <f t="shared" si="5"/>
        <v>16</v>
      </c>
      <c r="K29" s="2">
        <v>6</v>
      </c>
      <c r="M29" s="5" t="str">
        <f t="shared" si="6"/>
        <v>K&amp;R FT</v>
      </c>
      <c r="N29" s="6">
        <f t="shared" si="7"/>
        <v>3801</v>
      </c>
      <c r="O29" s="6">
        <f t="shared" si="8"/>
        <v>1759</v>
      </c>
      <c r="P29" s="7">
        <f t="shared" si="10"/>
        <v>0.46277295448566169</v>
      </c>
      <c r="Q29" s="6">
        <f t="shared" si="11"/>
        <v>2042</v>
      </c>
      <c r="R29" s="23"/>
      <c r="S29" s="30">
        <f t="shared" si="12"/>
        <v>0.486503719</v>
      </c>
      <c r="T29" s="28">
        <f t="shared" si="13"/>
        <v>90.200635918999978</v>
      </c>
      <c r="V29" s="5" t="str">
        <f t="shared" si="14"/>
        <v>Croydon</v>
      </c>
      <c r="W29" s="6">
        <f t="shared" si="15"/>
        <v>3345</v>
      </c>
      <c r="X29" s="6">
        <f t="shared" si="16"/>
        <v>1350</v>
      </c>
      <c r="Y29" s="7">
        <f t="shared" si="17"/>
        <v>0.40358744394618834</v>
      </c>
      <c r="Z29" s="6">
        <f t="shared" si="18"/>
        <v>1995</v>
      </c>
      <c r="AA29" s="23"/>
      <c r="AB29" s="30">
        <f t="shared" si="19"/>
        <v>0.45672782899999997</v>
      </c>
      <c r="AC29" s="28">
        <f t="shared" si="20"/>
        <v>177.75458800499996</v>
      </c>
    </row>
    <row r="30" spans="2:29" x14ac:dyDescent="0.35">
      <c r="B30" s="5" t="s">
        <v>69</v>
      </c>
      <c r="C30" s="5" t="s">
        <v>70</v>
      </c>
      <c r="D30" s="5" t="s">
        <v>71</v>
      </c>
      <c r="E30" s="6">
        <f>SUMIFS(flu_eng[fl_staff],flu_eng[trust_code],$B30)</f>
        <v>7146</v>
      </c>
      <c r="F30" s="6">
        <f>SUMIFS(flu_eng[fl_doses],flu_eng[trust_code],$B30)</f>
        <v>2284</v>
      </c>
      <c r="G30" s="7">
        <f t="shared" si="9"/>
        <v>0.31961936747830955</v>
      </c>
      <c r="H30" s="7">
        <f>SUMIFS(flu_eng[fl_5%_target],flu_eng[trust_code],$B30)</f>
        <v>0.31933739999999999</v>
      </c>
      <c r="I30" s="2">
        <f t="shared" si="5"/>
        <v>31</v>
      </c>
      <c r="K30" s="2">
        <v>7</v>
      </c>
      <c r="M30" s="5" t="str">
        <f t="shared" si="6"/>
        <v>Homerton</v>
      </c>
      <c r="N30" s="6">
        <f t="shared" si="7"/>
        <v>3667</v>
      </c>
      <c r="O30" s="6">
        <f t="shared" si="8"/>
        <v>1690</v>
      </c>
      <c r="P30" s="7">
        <f t="shared" si="10"/>
        <v>0.46086719389146441</v>
      </c>
      <c r="Q30" s="6">
        <f t="shared" si="11"/>
        <v>1977</v>
      </c>
      <c r="R30" s="23"/>
      <c r="S30" s="30">
        <f t="shared" si="12"/>
        <v>0.38944695299999998</v>
      </c>
      <c r="T30" s="28">
        <f t="shared" si="13"/>
        <v>-261.89802334900014</v>
      </c>
      <c r="V30" s="5" t="str">
        <f t="shared" si="14"/>
        <v>ELFT</v>
      </c>
      <c r="W30" s="6">
        <f t="shared" si="15"/>
        <v>7146</v>
      </c>
      <c r="X30" s="6">
        <f t="shared" si="16"/>
        <v>2284</v>
      </c>
      <c r="Y30" s="7">
        <f t="shared" si="17"/>
        <v>0.31961936747830955</v>
      </c>
      <c r="Z30" s="6">
        <f t="shared" si="18"/>
        <v>4862</v>
      </c>
      <c r="AA30" s="23"/>
      <c r="AB30" s="30">
        <f t="shared" si="19"/>
        <v>0.31933739999999999</v>
      </c>
      <c r="AC30" s="28">
        <f t="shared" si="20"/>
        <v>-2.0149396000001616</v>
      </c>
    </row>
    <row r="31" spans="2:29" x14ac:dyDescent="0.35">
      <c r="B31" s="5" t="s">
        <v>76</v>
      </c>
      <c r="C31" s="5" t="s">
        <v>77</v>
      </c>
      <c r="D31" s="5" t="s">
        <v>78</v>
      </c>
      <c r="E31" s="6">
        <f>SUMIFS(flu_eng[fl_staff],flu_eng[trust_code],$B31)</f>
        <v>5934</v>
      </c>
      <c r="F31" s="6">
        <f>SUMIFS(flu_eng[fl_doses],flu_eng[trust_code],$B31)</f>
        <v>2649</v>
      </c>
      <c r="G31" s="7">
        <f t="shared" si="9"/>
        <v>0.44641051567239637</v>
      </c>
      <c r="H31" s="7">
        <f>SUMIFS(flu_eng[fl_5%_target],flu_eng[trust_code],$B31)</f>
        <v>0.463787055</v>
      </c>
      <c r="I31" s="2">
        <f t="shared" si="5"/>
        <v>8</v>
      </c>
      <c r="K31" s="2">
        <v>8</v>
      </c>
      <c r="M31" s="5" t="str">
        <f t="shared" si="6"/>
        <v>Epsom</v>
      </c>
      <c r="N31" s="6">
        <f t="shared" si="7"/>
        <v>5934</v>
      </c>
      <c r="O31" s="6">
        <f t="shared" si="8"/>
        <v>2649</v>
      </c>
      <c r="P31" s="7">
        <f t="shared" si="10"/>
        <v>0.44641051567239637</v>
      </c>
      <c r="Q31" s="6">
        <f t="shared" si="11"/>
        <v>3285</v>
      </c>
      <c r="R31" s="23"/>
      <c r="S31" s="30">
        <f t="shared" si="12"/>
        <v>0.463787055</v>
      </c>
      <c r="T31" s="28">
        <f t="shared" si="13"/>
        <v>103.1123843700002</v>
      </c>
      <c r="V31" s="5" t="str">
        <f t="shared" si="14"/>
        <v>Epsom</v>
      </c>
      <c r="W31" s="6">
        <f t="shared" si="15"/>
        <v>5934</v>
      </c>
      <c r="X31" s="6">
        <f t="shared" si="16"/>
        <v>2649</v>
      </c>
      <c r="Y31" s="7">
        <f t="shared" si="17"/>
        <v>0.44641051567239637</v>
      </c>
      <c r="Z31" s="6">
        <f t="shared" si="18"/>
        <v>3285</v>
      </c>
      <c r="AA31" s="23"/>
      <c r="AB31" s="30">
        <f t="shared" si="19"/>
        <v>0.463787055</v>
      </c>
      <c r="AC31" s="28">
        <f t="shared" si="20"/>
        <v>103.1123843700002</v>
      </c>
    </row>
    <row r="32" spans="2:29" x14ac:dyDescent="0.35">
      <c r="B32" s="5" t="s">
        <v>83</v>
      </c>
      <c r="C32" s="5" t="s">
        <v>84</v>
      </c>
      <c r="D32" s="5" t="s">
        <v>85</v>
      </c>
      <c r="E32" s="6">
        <f>SUMIFS(flu_eng[fl_staff],flu_eng[trust_code],$B32)</f>
        <v>3938</v>
      </c>
      <c r="F32" s="6">
        <f>SUMIFS(flu_eng[fl_doses],flu_eng[trust_code],$B32)</f>
        <v>2216</v>
      </c>
      <c r="G32" s="7">
        <f t="shared" si="9"/>
        <v>0.56272219400711021</v>
      </c>
      <c r="H32" s="7">
        <f>SUMIFS(flu_eng[fl_5%_target],flu_eng[trust_code],$B32)</f>
        <v>0.50961783400000005</v>
      </c>
      <c r="I32" s="2">
        <f t="shared" si="5"/>
        <v>1</v>
      </c>
      <c r="K32" s="2">
        <v>9</v>
      </c>
      <c r="M32" s="5" t="str">
        <f t="shared" si="6"/>
        <v>T&amp;P</v>
      </c>
      <c r="N32" s="6">
        <f t="shared" si="7"/>
        <v>604</v>
      </c>
      <c r="O32" s="6">
        <f t="shared" si="8"/>
        <v>269</v>
      </c>
      <c r="P32" s="7">
        <f t="shared" si="10"/>
        <v>0.44536423841059603</v>
      </c>
      <c r="Q32" s="6">
        <f t="shared" si="11"/>
        <v>335</v>
      </c>
      <c r="R32" s="23"/>
      <c r="S32" s="30">
        <f t="shared" si="12"/>
        <v>0.32752293599999999</v>
      </c>
      <c r="T32" s="28">
        <f t="shared" si="13"/>
        <v>-71.176146656000014</v>
      </c>
      <c r="V32" s="5" t="str">
        <f t="shared" si="14"/>
        <v>GOSH</v>
      </c>
      <c r="W32" s="6">
        <f t="shared" si="15"/>
        <v>3938</v>
      </c>
      <c r="X32" s="6">
        <f t="shared" si="16"/>
        <v>2216</v>
      </c>
      <c r="Y32" s="7">
        <f t="shared" si="17"/>
        <v>0.56272219400711021</v>
      </c>
      <c r="Z32" s="6">
        <f t="shared" si="18"/>
        <v>1722</v>
      </c>
      <c r="AA32" s="23"/>
      <c r="AB32" s="30">
        <f t="shared" si="19"/>
        <v>0.50961783400000005</v>
      </c>
      <c r="AC32" s="28">
        <f t="shared" si="20"/>
        <v>-209.12496970799975</v>
      </c>
    </row>
    <row r="33" spans="2:29" x14ac:dyDescent="0.35">
      <c r="B33" s="5" t="s">
        <v>89</v>
      </c>
      <c r="C33" s="5" t="s">
        <v>90</v>
      </c>
      <c r="D33" s="5" t="s">
        <v>91</v>
      </c>
      <c r="E33" s="6">
        <f>SUMIFS(flu_eng[fl_staff],flu_eng[trust_code],$B33)</f>
        <v>17100</v>
      </c>
      <c r="F33" s="6">
        <f>SUMIFS(flu_eng[fl_doses],flu_eng[trust_code],$B33)</f>
        <v>7487</v>
      </c>
      <c r="G33" s="7">
        <f t="shared" si="9"/>
        <v>0.43783625730994152</v>
      </c>
      <c r="H33" s="7">
        <f>SUMIFS(flu_eng[fl_5%_target],flu_eng[trust_code],$B33)</f>
        <v>0.401467136</v>
      </c>
      <c r="I33" s="2">
        <f t="shared" si="5"/>
        <v>12</v>
      </c>
      <c r="K33" s="2">
        <v>10</v>
      </c>
      <c r="M33" s="5" t="str">
        <f t="shared" si="6"/>
        <v>ChelWest</v>
      </c>
      <c r="N33" s="6">
        <f t="shared" si="7"/>
        <v>4897</v>
      </c>
      <c r="O33" s="6">
        <f t="shared" si="8"/>
        <v>2171</v>
      </c>
      <c r="P33" s="7">
        <f t="shared" si="10"/>
        <v>0.44333265264447619</v>
      </c>
      <c r="Q33" s="6">
        <f t="shared" si="11"/>
        <v>2726</v>
      </c>
      <c r="R33" s="23"/>
      <c r="S33" s="30">
        <f t="shared" si="12"/>
        <v>0.42991803299999998</v>
      </c>
      <c r="T33" s="28">
        <f t="shared" si="13"/>
        <v>-65.691392399000051</v>
      </c>
      <c r="V33" s="5" t="str">
        <f t="shared" si="14"/>
        <v>GSTT</v>
      </c>
      <c r="W33" s="6">
        <f t="shared" si="15"/>
        <v>17100</v>
      </c>
      <c r="X33" s="6">
        <f t="shared" si="16"/>
        <v>7487</v>
      </c>
      <c r="Y33" s="7">
        <f t="shared" si="17"/>
        <v>0.43783625730994152</v>
      </c>
      <c r="Z33" s="6">
        <f t="shared" si="18"/>
        <v>9613</v>
      </c>
      <c r="AA33" s="23"/>
      <c r="AB33" s="30">
        <f t="shared" si="19"/>
        <v>0.401467136</v>
      </c>
      <c r="AC33" s="28">
        <f t="shared" si="20"/>
        <v>-621.91197439999996</v>
      </c>
    </row>
    <row r="34" spans="2:29" x14ac:dyDescent="0.35">
      <c r="B34" s="5" t="s">
        <v>95</v>
      </c>
      <c r="C34" s="5" t="s">
        <v>96</v>
      </c>
      <c r="D34" s="5" t="s">
        <v>97</v>
      </c>
      <c r="E34" s="6">
        <f>SUMIFS(flu_eng[fl_staff],flu_eng[trust_code],$B34)</f>
        <v>3667</v>
      </c>
      <c r="F34" s="6">
        <f>SUMIFS(flu_eng[fl_doses],flu_eng[trust_code],$B34)</f>
        <v>1690</v>
      </c>
      <c r="G34" s="7">
        <f t="shared" si="9"/>
        <v>0.46086719389146441</v>
      </c>
      <c r="H34" s="7">
        <f>SUMIFS(flu_eng[fl_5%_target],flu_eng[trust_code],$B34)</f>
        <v>0.38944695299999998</v>
      </c>
      <c r="I34" s="2">
        <f t="shared" si="5"/>
        <v>7</v>
      </c>
      <c r="K34" s="2">
        <v>11</v>
      </c>
      <c r="M34" s="5" t="str">
        <f t="shared" si="6"/>
        <v>UCLH</v>
      </c>
      <c r="N34" s="6">
        <f t="shared" si="7"/>
        <v>8265</v>
      </c>
      <c r="O34" s="6">
        <f t="shared" si="8"/>
        <v>3638</v>
      </c>
      <c r="P34" s="7">
        <f t="shared" si="10"/>
        <v>0.44016938898971569</v>
      </c>
      <c r="Q34" s="6">
        <f t="shared" si="11"/>
        <v>4627</v>
      </c>
      <c r="R34" s="23"/>
      <c r="S34" s="30">
        <f t="shared" si="12"/>
        <v>0.445920969</v>
      </c>
      <c r="T34" s="28">
        <f t="shared" si="13"/>
        <v>47.536808785000176</v>
      </c>
      <c r="V34" s="5" t="str">
        <f t="shared" si="14"/>
        <v>Homerton</v>
      </c>
      <c r="W34" s="6">
        <f t="shared" si="15"/>
        <v>3667</v>
      </c>
      <c r="X34" s="6">
        <f t="shared" si="16"/>
        <v>1690</v>
      </c>
      <c r="Y34" s="7">
        <f t="shared" si="17"/>
        <v>0.46086719389146441</v>
      </c>
      <c r="Z34" s="6">
        <f t="shared" si="18"/>
        <v>1977</v>
      </c>
      <c r="AA34" s="23"/>
      <c r="AB34" s="30">
        <f t="shared" si="19"/>
        <v>0.38944695299999998</v>
      </c>
      <c r="AC34" s="28">
        <f t="shared" si="20"/>
        <v>-261.89802334900014</v>
      </c>
    </row>
    <row r="35" spans="2:29" x14ac:dyDescent="0.35">
      <c r="B35" s="5" t="s">
        <v>101</v>
      </c>
      <c r="C35" s="5" t="s">
        <v>102</v>
      </c>
      <c r="D35" s="5" t="s">
        <v>103</v>
      </c>
      <c r="E35" s="6">
        <f>SUMIFS(flu_eng[fl_staff],flu_eng[trust_code],$B35)</f>
        <v>11551</v>
      </c>
      <c r="F35" s="6">
        <f>SUMIFS(flu_eng[fl_doses],flu_eng[trust_code],$B35)</f>
        <v>4313</v>
      </c>
      <c r="G35" s="7">
        <f t="shared" si="9"/>
        <v>0.37338758549043372</v>
      </c>
      <c r="H35" s="7">
        <f>SUMIFS(flu_eng[fl_5%_target],flu_eng[trust_code],$B35)</f>
        <v>0.36846209599999902</v>
      </c>
      <c r="I35" s="2">
        <f t="shared" si="5"/>
        <v>22</v>
      </c>
      <c r="K35" s="2">
        <v>12</v>
      </c>
      <c r="M35" s="5" t="str">
        <f t="shared" si="6"/>
        <v>GSTT</v>
      </c>
      <c r="N35" s="6">
        <f t="shared" si="7"/>
        <v>17100</v>
      </c>
      <c r="O35" s="6">
        <f t="shared" si="8"/>
        <v>7487</v>
      </c>
      <c r="P35" s="7">
        <f t="shared" si="10"/>
        <v>0.43783625730994152</v>
      </c>
      <c r="Q35" s="6">
        <f t="shared" si="11"/>
        <v>9613</v>
      </c>
      <c r="R35" s="23"/>
      <c r="S35" s="30">
        <f t="shared" si="12"/>
        <v>0.401467136</v>
      </c>
      <c r="T35" s="28">
        <f t="shared" si="13"/>
        <v>-621.91197439999996</v>
      </c>
      <c r="V35" s="5" t="str">
        <f t="shared" si="14"/>
        <v>Imperial</v>
      </c>
      <c r="W35" s="6">
        <f t="shared" si="15"/>
        <v>11551</v>
      </c>
      <c r="X35" s="6">
        <f t="shared" si="16"/>
        <v>4313</v>
      </c>
      <c r="Y35" s="7">
        <f t="shared" si="17"/>
        <v>0.37338758549043372</v>
      </c>
      <c r="Z35" s="6">
        <f t="shared" si="18"/>
        <v>7238</v>
      </c>
      <c r="AA35" s="23"/>
      <c r="AB35" s="30">
        <f t="shared" si="19"/>
        <v>0.36846209599999902</v>
      </c>
      <c r="AC35" s="28">
        <f t="shared" si="20"/>
        <v>-56.894329104011376</v>
      </c>
    </row>
    <row r="36" spans="2:29" x14ac:dyDescent="0.35">
      <c r="B36" s="5" t="s">
        <v>107</v>
      </c>
      <c r="C36" s="5" t="s">
        <v>108</v>
      </c>
      <c r="D36" s="5" t="s">
        <v>109</v>
      </c>
      <c r="E36" s="6">
        <f>SUMIFS(flu_eng[fl_staff],flu_eng[trust_code],$B36)</f>
        <v>9537</v>
      </c>
      <c r="F36" s="6">
        <f>SUMIFS(flu_eng[fl_doses],flu_eng[trust_code],$B36)</f>
        <v>4420</v>
      </c>
      <c r="G36" s="7">
        <f t="shared" si="9"/>
        <v>0.46345811051693403</v>
      </c>
      <c r="H36" s="7">
        <f>SUMIFS(flu_eng[fl_5%_target],flu_eng[trust_code],$B36)</f>
        <v>0.45879828299999997</v>
      </c>
      <c r="I36" s="2">
        <f t="shared" si="5"/>
        <v>5</v>
      </c>
      <c r="K36" s="2">
        <v>13</v>
      </c>
      <c r="M36" s="5" t="str">
        <f t="shared" si="6"/>
        <v>LNW</v>
      </c>
      <c r="N36" s="6">
        <f t="shared" si="7"/>
        <v>4230</v>
      </c>
      <c r="O36" s="6">
        <f t="shared" si="8"/>
        <v>1787</v>
      </c>
      <c r="P36" s="7">
        <f t="shared" si="10"/>
        <v>0.42245862884160756</v>
      </c>
      <c r="Q36" s="6">
        <f t="shared" si="11"/>
        <v>2443</v>
      </c>
      <c r="R36" s="23"/>
      <c r="S36" s="30">
        <f t="shared" si="12"/>
        <v>0.431501678</v>
      </c>
      <c r="T36" s="28">
        <f t="shared" si="13"/>
        <v>38.252097939999885</v>
      </c>
      <c r="V36" s="5" t="str">
        <f t="shared" si="14"/>
        <v>King's</v>
      </c>
      <c r="W36" s="6">
        <f t="shared" si="15"/>
        <v>9537</v>
      </c>
      <c r="X36" s="6">
        <f t="shared" si="16"/>
        <v>4420</v>
      </c>
      <c r="Y36" s="7">
        <f t="shared" si="17"/>
        <v>0.46345811051693403</v>
      </c>
      <c r="Z36" s="6">
        <f t="shared" si="18"/>
        <v>5117</v>
      </c>
      <c r="AA36" s="23"/>
      <c r="AB36" s="30">
        <f t="shared" si="19"/>
        <v>0.45879828299999997</v>
      </c>
      <c r="AC36" s="28">
        <f t="shared" si="20"/>
        <v>-44.440775029000179</v>
      </c>
    </row>
    <row r="37" spans="2:29" x14ac:dyDescent="0.35">
      <c r="B37" s="5" t="s">
        <v>113</v>
      </c>
      <c r="C37" s="5" t="s">
        <v>114</v>
      </c>
      <c r="D37" s="5" t="s">
        <v>115</v>
      </c>
      <c r="E37" s="6">
        <f>SUMIFS(flu_eng[fl_staff],flu_eng[trust_code],$B37)</f>
        <v>3801</v>
      </c>
      <c r="F37" s="6">
        <f>SUMIFS(flu_eng[fl_doses],flu_eng[trust_code],$B37)</f>
        <v>1759</v>
      </c>
      <c r="G37" s="7">
        <f t="shared" si="9"/>
        <v>0.46277295448566169</v>
      </c>
      <c r="H37" s="7">
        <f>SUMIFS(flu_eng[fl_5%_target],flu_eng[trust_code],$B37)</f>
        <v>0.486503719</v>
      </c>
      <c r="I37" s="2">
        <f t="shared" si="5"/>
        <v>6</v>
      </c>
      <c r="K37" s="2">
        <v>14</v>
      </c>
      <c r="M37" s="5" t="str">
        <f t="shared" si="6"/>
        <v>RNOH</v>
      </c>
      <c r="N37" s="6">
        <f t="shared" si="7"/>
        <v>998</v>
      </c>
      <c r="O37" s="6">
        <f t="shared" si="8"/>
        <v>421</v>
      </c>
      <c r="P37" s="7">
        <f t="shared" si="10"/>
        <v>0.42184368737474948</v>
      </c>
      <c r="Q37" s="6">
        <f t="shared" si="11"/>
        <v>577</v>
      </c>
      <c r="R37" s="23"/>
      <c r="S37" s="30">
        <f t="shared" si="12"/>
        <v>0.38827893199999902</v>
      </c>
      <c r="T37" s="28">
        <f t="shared" si="13"/>
        <v>-33.497625864000952</v>
      </c>
      <c r="V37" s="5" t="str">
        <f t="shared" si="14"/>
        <v>K&amp;R FT</v>
      </c>
      <c r="W37" s="6">
        <f t="shared" si="15"/>
        <v>3801</v>
      </c>
      <c r="X37" s="6">
        <f t="shared" si="16"/>
        <v>1759</v>
      </c>
      <c r="Y37" s="7">
        <f t="shared" si="17"/>
        <v>0.46277295448566169</v>
      </c>
      <c r="Z37" s="6">
        <f t="shared" si="18"/>
        <v>2042</v>
      </c>
      <c r="AA37" s="23"/>
      <c r="AB37" s="30">
        <f t="shared" si="19"/>
        <v>0.486503719</v>
      </c>
      <c r="AC37" s="28">
        <f t="shared" si="20"/>
        <v>90.200635918999978</v>
      </c>
    </row>
    <row r="38" spans="2:29" x14ac:dyDescent="0.35">
      <c r="B38" s="5" t="s">
        <v>118</v>
      </c>
      <c r="C38" s="5" t="s">
        <v>119</v>
      </c>
      <c r="D38" s="5" t="s">
        <v>120</v>
      </c>
      <c r="E38" s="6">
        <f>SUMIFS(flu_eng[fl_staff],flu_eng[trust_code],$B38)</f>
        <v>6639</v>
      </c>
      <c r="F38" s="6">
        <f>SUMIFS(flu_eng[fl_doses],flu_eng[trust_code],$B38)</f>
        <v>2366</v>
      </c>
      <c r="G38" s="7">
        <f t="shared" si="9"/>
        <v>0.35637897273685798</v>
      </c>
      <c r="H38" s="7">
        <f>SUMIFS(flu_eng[fl_5%_target],flu_eng[trust_code],$B38)</f>
        <v>0.35655045600000002</v>
      </c>
      <c r="I38" s="2">
        <f t="shared" si="5"/>
        <v>24</v>
      </c>
      <c r="K38" s="2">
        <v>15</v>
      </c>
      <c r="M38" s="5" t="str">
        <f t="shared" si="6"/>
        <v>St George's</v>
      </c>
      <c r="N38" s="6">
        <f t="shared" si="7"/>
        <v>6877</v>
      </c>
      <c r="O38" s="6">
        <f t="shared" si="8"/>
        <v>2835</v>
      </c>
      <c r="P38" s="7">
        <f t="shared" si="10"/>
        <v>0.41224371092045953</v>
      </c>
      <c r="Q38" s="6">
        <f t="shared" si="11"/>
        <v>4042</v>
      </c>
      <c r="R38" s="23"/>
      <c r="S38" s="30">
        <f t="shared" si="12"/>
        <v>0.46521953999999999</v>
      </c>
      <c r="T38" s="28">
        <f t="shared" si="13"/>
        <v>364.31477657999994</v>
      </c>
      <c r="V38" s="5" t="str">
        <f t="shared" si="14"/>
        <v>L&amp;G</v>
      </c>
      <c r="W38" s="6">
        <f t="shared" si="15"/>
        <v>6639</v>
      </c>
      <c r="X38" s="6">
        <f t="shared" si="16"/>
        <v>2366</v>
      </c>
      <c r="Y38" s="7">
        <f t="shared" si="17"/>
        <v>0.35637897273685798</v>
      </c>
      <c r="Z38" s="6">
        <f t="shared" si="18"/>
        <v>4273</v>
      </c>
      <c r="AA38" s="23"/>
      <c r="AB38" s="30">
        <f t="shared" si="19"/>
        <v>0.35655045600000002</v>
      </c>
      <c r="AC38" s="28">
        <f t="shared" si="20"/>
        <v>1.138477383999998</v>
      </c>
    </row>
    <row r="39" spans="2:29" x14ac:dyDescent="0.35">
      <c r="B39" s="5" t="s">
        <v>124</v>
      </c>
      <c r="C39" s="5" t="s">
        <v>125</v>
      </c>
      <c r="D39" s="5" t="s">
        <v>126</v>
      </c>
      <c r="E39" s="6">
        <f>SUMIFS(flu_eng[fl_staff],flu_eng[trust_code],$B39)</f>
        <v>3706</v>
      </c>
      <c r="F39" s="6">
        <f>SUMIFS(flu_eng[fl_doses],flu_eng[trust_code],$B39)</f>
        <v>1852</v>
      </c>
      <c r="G39" s="7">
        <f t="shared" si="9"/>
        <v>0.49973016729627628</v>
      </c>
      <c r="H39" s="7">
        <f>SUMIFS(flu_eng[fl_5%_target],flu_eng[trust_code],$B39)</f>
        <v>0.46653786699999999</v>
      </c>
      <c r="I39" s="2">
        <f t="shared" si="5"/>
        <v>3</v>
      </c>
      <c r="K39" s="2">
        <v>16</v>
      </c>
      <c r="M39" s="5" t="str">
        <f t="shared" si="6"/>
        <v>Croydon</v>
      </c>
      <c r="N39" s="6">
        <f t="shared" si="7"/>
        <v>3345</v>
      </c>
      <c r="O39" s="6">
        <f t="shared" si="8"/>
        <v>1350</v>
      </c>
      <c r="P39" s="7">
        <f t="shared" si="10"/>
        <v>0.40358744394618834</v>
      </c>
      <c r="Q39" s="6">
        <f t="shared" si="11"/>
        <v>1995</v>
      </c>
      <c r="R39" s="23"/>
      <c r="S39" s="30">
        <f t="shared" si="12"/>
        <v>0.45672782899999997</v>
      </c>
      <c r="T39" s="28">
        <f t="shared" si="13"/>
        <v>177.75458800499996</v>
      </c>
      <c r="V39" s="5" t="str">
        <f t="shared" si="14"/>
        <v>LAS</v>
      </c>
      <c r="W39" s="6">
        <f t="shared" si="15"/>
        <v>3706</v>
      </c>
      <c r="X39" s="6">
        <f t="shared" si="16"/>
        <v>1852</v>
      </c>
      <c r="Y39" s="7">
        <f t="shared" si="17"/>
        <v>0.49973016729627628</v>
      </c>
      <c r="Z39" s="6">
        <f t="shared" si="18"/>
        <v>1854</v>
      </c>
      <c r="AA39" s="23"/>
      <c r="AB39" s="30">
        <f t="shared" si="19"/>
        <v>0.46653786699999999</v>
      </c>
      <c r="AC39" s="28">
        <f t="shared" si="20"/>
        <v>-123.01066489799996</v>
      </c>
    </row>
    <row r="40" spans="2:29" x14ac:dyDescent="0.35">
      <c r="B40" s="5" t="s">
        <v>130</v>
      </c>
      <c r="C40" s="5" t="s">
        <v>131</v>
      </c>
      <c r="D40" s="5" t="s">
        <v>132</v>
      </c>
      <c r="E40" s="6">
        <f>SUMIFS(flu_eng[fl_staff],flu_eng[trust_code],$B40)</f>
        <v>4230</v>
      </c>
      <c r="F40" s="6">
        <f>SUMIFS(flu_eng[fl_doses],flu_eng[trust_code],$B40)</f>
        <v>1787</v>
      </c>
      <c r="G40" s="7">
        <f t="shared" si="9"/>
        <v>0.42245862884160756</v>
      </c>
      <c r="H40" s="7">
        <f>SUMIFS(flu_eng[fl_5%_target],flu_eng[trust_code],$B40)</f>
        <v>0.431501678</v>
      </c>
      <c r="I40" s="2">
        <f t="shared" si="5"/>
        <v>13</v>
      </c>
      <c r="K40" s="2">
        <v>17</v>
      </c>
      <c r="M40" s="5" t="str">
        <f t="shared" si="6"/>
        <v>Whittington</v>
      </c>
      <c r="N40" s="6">
        <f t="shared" si="7"/>
        <v>2956</v>
      </c>
      <c r="O40" s="6">
        <f t="shared" si="8"/>
        <v>1170</v>
      </c>
      <c r="P40" s="7">
        <f t="shared" si="10"/>
        <v>0.39580514208389717</v>
      </c>
      <c r="Q40" s="6">
        <f t="shared" si="11"/>
        <v>1786</v>
      </c>
      <c r="R40" s="23"/>
      <c r="S40" s="30">
        <f t="shared" si="12"/>
        <v>0.39853195199999902</v>
      </c>
      <c r="T40" s="28">
        <f t="shared" si="13"/>
        <v>8.0604501119971701</v>
      </c>
      <c r="V40" s="5" t="str">
        <f t="shared" si="14"/>
        <v>LNW</v>
      </c>
      <c r="W40" s="6">
        <f t="shared" si="15"/>
        <v>4230</v>
      </c>
      <c r="X40" s="6">
        <f t="shared" si="16"/>
        <v>1787</v>
      </c>
      <c r="Y40" s="7">
        <f t="shared" si="17"/>
        <v>0.42245862884160756</v>
      </c>
      <c r="Z40" s="6">
        <f t="shared" si="18"/>
        <v>2443</v>
      </c>
      <c r="AA40" s="23"/>
      <c r="AB40" s="30">
        <f t="shared" si="19"/>
        <v>0.431501678</v>
      </c>
      <c r="AC40" s="28">
        <f t="shared" si="20"/>
        <v>38.252097939999885</v>
      </c>
    </row>
    <row r="41" spans="2:29" x14ac:dyDescent="0.35">
      <c r="B41" s="5" t="s">
        <v>136</v>
      </c>
      <c r="C41" s="5" t="s">
        <v>137</v>
      </c>
      <c r="D41" s="5" t="s">
        <v>138</v>
      </c>
      <c r="E41" s="6">
        <f>SUMIFS(flu_eng[fl_staff],flu_eng[trust_code],$B41)</f>
        <v>1777</v>
      </c>
      <c r="F41" s="6">
        <f>SUMIFS(flu_eng[fl_doses],flu_eng[trust_code],$B41)</f>
        <v>904</v>
      </c>
      <c r="G41" s="7">
        <f t="shared" si="9"/>
        <v>0.50872256612267863</v>
      </c>
      <c r="H41" s="7">
        <f>SUMIFS(flu_eng[fl_5%_target],flu_eng[trust_code],$B41)</f>
        <v>0.52152480099999998</v>
      </c>
      <c r="I41" s="2">
        <f t="shared" si="5"/>
        <v>2</v>
      </c>
      <c r="K41" s="2">
        <v>18</v>
      </c>
      <c r="M41" s="5" t="str">
        <f t="shared" si="6"/>
        <v>BHR</v>
      </c>
      <c r="N41" s="6">
        <f t="shared" si="7"/>
        <v>6967</v>
      </c>
      <c r="O41" s="6">
        <f t="shared" si="8"/>
        <v>2747</v>
      </c>
      <c r="P41" s="7">
        <f t="shared" si="10"/>
        <v>0.39428735467202525</v>
      </c>
      <c r="Q41" s="6">
        <f t="shared" si="11"/>
        <v>4220</v>
      </c>
      <c r="R41" s="23"/>
      <c r="S41" s="30">
        <f t="shared" si="12"/>
        <v>0.48913520299999902</v>
      </c>
      <c r="T41" s="28">
        <f t="shared" si="13"/>
        <v>660.80495930099323</v>
      </c>
      <c r="V41" s="5" t="str">
        <f t="shared" si="14"/>
        <v>Moorfields</v>
      </c>
      <c r="W41" s="6">
        <f t="shared" si="15"/>
        <v>1777</v>
      </c>
      <c r="X41" s="6">
        <f t="shared" si="16"/>
        <v>904</v>
      </c>
      <c r="Y41" s="7">
        <f t="shared" si="17"/>
        <v>0.50872256612267863</v>
      </c>
      <c r="Z41" s="6">
        <f t="shared" si="18"/>
        <v>873</v>
      </c>
      <c r="AA41" s="23"/>
      <c r="AB41" s="30">
        <f t="shared" si="19"/>
        <v>0.52152480099999998</v>
      </c>
      <c r="AC41" s="28">
        <f t="shared" si="20"/>
        <v>22.749571376999938</v>
      </c>
    </row>
    <row r="42" spans="2:29" x14ac:dyDescent="0.35">
      <c r="B42" s="5" t="s">
        <v>142</v>
      </c>
      <c r="C42" s="5" t="s">
        <v>143</v>
      </c>
      <c r="D42" s="5" t="s">
        <v>144</v>
      </c>
      <c r="E42" s="6">
        <f>SUMIFS(flu_eng[fl_staff],flu_eng[trust_code],$B42)</f>
        <v>6043</v>
      </c>
      <c r="F42" s="6">
        <f>SUMIFS(flu_eng[fl_doses],flu_eng[trust_code],$B42)</f>
        <v>1981</v>
      </c>
      <c r="G42" s="7">
        <f t="shared" si="9"/>
        <v>0.32781730928346847</v>
      </c>
      <c r="H42" s="7">
        <f>SUMIFS(flu_eng[fl_5%_target],flu_eng[trust_code],$B42)</f>
        <v>0.34624109999999902</v>
      </c>
      <c r="I42" s="2">
        <f t="shared" si="5"/>
        <v>30</v>
      </c>
      <c r="K42" s="2">
        <v>19</v>
      </c>
      <c r="M42" s="5" t="str">
        <f t="shared" si="6"/>
        <v>SLAM</v>
      </c>
      <c r="N42" s="6">
        <f t="shared" si="7"/>
        <v>4088</v>
      </c>
      <c r="O42" s="6">
        <f t="shared" si="8"/>
        <v>1592</v>
      </c>
      <c r="P42" s="7">
        <f t="shared" si="10"/>
        <v>0.38943248532289626</v>
      </c>
      <c r="Q42" s="6">
        <f t="shared" si="11"/>
        <v>2496</v>
      </c>
      <c r="R42" s="23"/>
      <c r="S42" s="30">
        <f t="shared" si="12"/>
        <v>0.37769929399999902</v>
      </c>
      <c r="T42" s="28">
        <f t="shared" si="13"/>
        <v>-47.965286128003982</v>
      </c>
      <c r="V42" s="5" t="str">
        <f t="shared" si="14"/>
        <v>NELFT</v>
      </c>
      <c r="W42" s="6">
        <f t="shared" si="15"/>
        <v>6043</v>
      </c>
      <c r="X42" s="6">
        <f t="shared" si="16"/>
        <v>1981</v>
      </c>
      <c r="Y42" s="7">
        <f t="shared" si="17"/>
        <v>0.32781730928346847</v>
      </c>
      <c r="Z42" s="6">
        <f t="shared" si="18"/>
        <v>4062</v>
      </c>
      <c r="AA42" s="23"/>
      <c r="AB42" s="30">
        <f t="shared" si="19"/>
        <v>0.34624109999999902</v>
      </c>
      <c r="AC42" s="28">
        <f t="shared" si="20"/>
        <v>111.33496729999433</v>
      </c>
    </row>
    <row r="43" spans="2:29" x14ac:dyDescent="0.35">
      <c r="B43" s="5" t="s">
        <v>147</v>
      </c>
      <c r="C43" s="5" t="s">
        <v>148</v>
      </c>
      <c r="D43" s="5" t="s">
        <v>149</v>
      </c>
      <c r="E43" s="6">
        <f>SUMIFS(flu_eng[fl_staff],flu_eng[trust_code],$B43)</f>
        <v>5174</v>
      </c>
      <c r="F43" s="6">
        <f>SUMIFS(flu_eng[fl_doses],flu_eng[trust_code],$B43)</f>
        <v>1650</v>
      </c>
      <c r="G43" s="7">
        <f t="shared" si="9"/>
        <v>0.3189022033243139</v>
      </c>
      <c r="H43" s="7">
        <f>SUMIFS(flu_eng[fl_5%_target],flu_eng[trust_code],$B43)</f>
        <v>0.29190700400000003</v>
      </c>
      <c r="I43" s="2">
        <f t="shared" si="5"/>
        <v>32</v>
      </c>
      <c r="K43" s="2">
        <v>20</v>
      </c>
      <c r="M43" s="5" t="str">
        <f t="shared" si="6"/>
        <v>Oxleas</v>
      </c>
      <c r="N43" s="6">
        <f t="shared" si="7"/>
        <v>3059</v>
      </c>
      <c r="O43" s="6">
        <f t="shared" si="8"/>
        <v>1166</v>
      </c>
      <c r="P43" s="7">
        <f t="shared" si="10"/>
        <v>0.38117031709709054</v>
      </c>
      <c r="Q43" s="6">
        <f t="shared" si="11"/>
        <v>1893</v>
      </c>
      <c r="R43" s="23"/>
      <c r="S43" s="30">
        <f t="shared" si="12"/>
        <v>0.37116788299999998</v>
      </c>
      <c r="T43" s="28">
        <f t="shared" si="13"/>
        <v>-30.597445903000107</v>
      </c>
      <c r="V43" s="5" t="str">
        <f t="shared" si="14"/>
        <v>North London</v>
      </c>
      <c r="W43" s="6">
        <f t="shared" si="15"/>
        <v>5174</v>
      </c>
      <c r="X43" s="6">
        <f t="shared" si="16"/>
        <v>1650</v>
      </c>
      <c r="Y43" s="7">
        <f t="shared" si="17"/>
        <v>0.3189022033243139</v>
      </c>
      <c r="Z43" s="6">
        <f t="shared" si="18"/>
        <v>3524</v>
      </c>
      <c r="AA43" s="23"/>
      <c r="AB43" s="30">
        <f t="shared" si="19"/>
        <v>0.29190700400000003</v>
      </c>
      <c r="AC43" s="28">
        <f t="shared" si="20"/>
        <v>-139.6731613039999</v>
      </c>
    </row>
    <row r="44" spans="2:29" x14ac:dyDescent="0.35">
      <c r="B44" s="5" t="s">
        <v>152</v>
      </c>
      <c r="C44" s="5" t="s">
        <v>153</v>
      </c>
      <c r="D44" s="5" t="s">
        <v>154</v>
      </c>
      <c r="E44" s="6">
        <f>SUMIFS(flu_eng[fl_staff],flu_eng[trust_code],$B44)</f>
        <v>3059</v>
      </c>
      <c r="F44" s="6">
        <f>SUMIFS(flu_eng[fl_doses],flu_eng[trust_code],$B44)</f>
        <v>1166</v>
      </c>
      <c r="G44" s="7">
        <f t="shared" si="9"/>
        <v>0.38117031709709054</v>
      </c>
      <c r="H44" s="7">
        <f>SUMIFS(flu_eng[fl_5%_target],flu_eng[trust_code],$B44)</f>
        <v>0.37116788299999998</v>
      </c>
      <c r="I44" s="2">
        <f t="shared" si="5"/>
        <v>20</v>
      </c>
      <c r="K44" s="2">
        <v>21</v>
      </c>
      <c r="M44" s="5" t="str">
        <f t="shared" si="6"/>
        <v>CLCH</v>
      </c>
      <c r="N44" s="6">
        <f t="shared" si="7"/>
        <v>4119</v>
      </c>
      <c r="O44" s="6">
        <f t="shared" si="8"/>
        <v>1540</v>
      </c>
      <c r="P44" s="7">
        <f t="shared" si="10"/>
        <v>0.37387715464918669</v>
      </c>
      <c r="Q44" s="6">
        <f t="shared" si="11"/>
        <v>2579</v>
      </c>
      <c r="R44" s="23"/>
      <c r="S44" s="30">
        <f t="shared" si="12"/>
        <v>0.34633582400000001</v>
      </c>
      <c r="T44" s="28">
        <f t="shared" si="13"/>
        <v>-113.44274094399998</v>
      </c>
      <c r="V44" s="5" t="str">
        <f t="shared" si="14"/>
        <v>Oxleas</v>
      </c>
      <c r="W44" s="6">
        <f t="shared" si="15"/>
        <v>3059</v>
      </c>
      <c r="X44" s="6">
        <f t="shared" si="16"/>
        <v>1166</v>
      </c>
      <c r="Y44" s="7">
        <f t="shared" si="17"/>
        <v>0.38117031709709054</v>
      </c>
      <c r="Z44" s="6">
        <f t="shared" si="18"/>
        <v>1893</v>
      </c>
      <c r="AA44" s="23"/>
      <c r="AB44" s="30">
        <f t="shared" si="19"/>
        <v>0.37116788299999998</v>
      </c>
      <c r="AC44" s="28">
        <f t="shared" si="20"/>
        <v>-30.597445903000107</v>
      </c>
    </row>
    <row r="45" spans="2:29" x14ac:dyDescent="0.35">
      <c r="B45" s="5" t="s">
        <v>157</v>
      </c>
      <c r="C45" s="5" t="s">
        <v>158</v>
      </c>
      <c r="D45" s="5" t="s">
        <v>159</v>
      </c>
      <c r="E45" s="6">
        <f>SUMIFS(flu_eng[fl_staff],flu_eng[trust_code],$B45)</f>
        <v>18777</v>
      </c>
      <c r="F45" s="6">
        <f>SUMIFS(flu_eng[fl_doses],flu_eng[trust_code],$B45)</f>
        <v>6958</v>
      </c>
      <c r="G45" s="7">
        <f t="shared" si="9"/>
        <v>0.37055972732598391</v>
      </c>
      <c r="H45" s="7">
        <f>SUMIFS(flu_eng[fl_5%_target],flu_eng[trust_code],$B45)</f>
        <v>0.35984664599999999</v>
      </c>
      <c r="I45" s="2">
        <f t="shared" si="5"/>
        <v>23</v>
      </c>
      <c r="K45" s="2">
        <v>22</v>
      </c>
      <c r="M45" s="5" t="str">
        <f t="shared" si="6"/>
        <v>Imperial</v>
      </c>
      <c r="N45" s="6">
        <f t="shared" si="7"/>
        <v>11551</v>
      </c>
      <c r="O45" s="6">
        <f t="shared" si="8"/>
        <v>4313</v>
      </c>
      <c r="P45" s="7">
        <f t="shared" si="10"/>
        <v>0.37338758549043372</v>
      </c>
      <c r="Q45" s="6">
        <f t="shared" si="11"/>
        <v>7238</v>
      </c>
      <c r="R45" s="23"/>
      <c r="S45" s="30">
        <f t="shared" si="12"/>
        <v>0.36846209599999902</v>
      </c>
      <c r="T45" s="28">
        <f t="shared" si="13"/>
        <v>-56.894329104011376</v>
      </c>
      <c r="V45" s="5" t="str">
        <f t="shared" si="14"/>
        <v>Royal Free</v>
      </c>
      <c r="W45" s="6">
        <f t="shared" si="15"/>
        <v>18777</v>
      </c>
      <c r="X45" s="6">
        <f t="shared" si="16"/>
        <v>6958</v>
      </c>
      <c r="Y45" s="7">
        <f t="shared" si="17"/>
        <v>0.37055972732598391</v>
      </c>
      <c r="Z45" s="6">
        <f t="shared" si="18"/>
        <v>11819</v>
      </c>
      <c r="AA45" s="23"/>
      <c r="AB45" s="30">
        <f t="shared" si="19"/>
        <v>0.35984664599999999</v>
      </c>
      <c r="AC45" s="28">
        <f t="shared" si="20"/>
        <v>-201.15952805800043</v>
      </c>
    </row>
    <row r="46" spans="2:29" x14ac:dyDescent="0.35">
      <c r="B46" s="5" t="s">
        <v>161</v>
      </c>
      <c r="C46" s="5" t="s">
        <v>162</v>
      </c>
      <c r="D46" s="5" t="s">
        <v>163</v>
      </c>
      <c r="E46" s="6">
        <f>SUMIFS(flu_eng[fl_staff],flu_eng[trust_code],$B46)</f>
        <v>998</v>
      </c>
      <c r="F46" s="6">
        <f>SUMIFS(flu_eng[fl_doses],flu_eng[trust_code],$B46)</f>
        <v>421</v>
      </c>
      <c r="G46" s="7">
        <f t="shared" si="9"/>
        <v>0.42184368737474948</v>
      </c>
      <c r="H46" s="7">
        <f>SUMIFS(flu_eng[fl_5%_target],flu_eng[trust_code],$B46)</f>
        <v>0.38827893199999902</v>
      </c>
      <c r="I46" s="2">
        <f t="shared" si="5"/>
        <v>14</v>
      </c>
      <c r="K46" s="2">
        <v>23</v>
      </c>
      <c r="M46" s="5" t="str">
        <f t="shared" si="6"/>
        <v>Royal Free</v>
      </c>
      <c r="N46" s="6">
        <f t="shared" si="7"/>
        <v>18777</v>
      </c>
      <c r="O46" s="6">
        <f t="shared" si="8"/>
        <v>6958</v>
      </c>
      <c r="P46" s="7">
        <f t="shared" si="10"/>
        <v>0.37055972732598391</v>
      </c>
      <c r="Q46" s="6">
        <f t="shared" si="11"/>
        <v>11819</v>
      </c>
      <c r="R46" s="23"/>
      <c r="S46" s="30">
        <f t="shared" si="12"/>
        <v>0.35984664599999999</v>
      </c>
      <c r="T46" s="28">
        <f t="shared" si="13"/>
        <v>-201.15952805800043</v>
      </c>
      <c r="V46" s="5" t="str">
        <f t="shared" si="14"/>
        <v>RNOH</v>
      </c>
      <c r="W46" s="6">
        <f t="shared" si="15"/>
        <v>998</v>
      </c>
      <c r="X46" s="6">
        <f t="shared" si="16"/>
        <v>421</v>
      </c>
      <c r="Y46" s="7">
        <f t="shared" si="17"/>
        <v>0.42184368737474948</v>
      </c>
      <c r="Z46" s="6">
        <f t="shared" si="18"/>
        <v>577</v>
      </c>
      <c r="AA46" s="23"/>
      <c r="AB46" s="30">
        <f t="shared" si="19"/>
        <v>0.38827893199999902</v>
      </c>
      <c r="AC46" s="28">
        <f t="shared" si="20"/>
        <v>-33.497625864000952</v>
      </c>
    </row>
    <row r="47" spans="2:29" x14ac:dyDescent="0.35">
      <c r="B47" s="5" t="s">
        <v>164</v>
      </c>
      <c r="C47" s="5" t="s">
        <v>165</v>
      </c>
      <c r="D47" s="5" t="s">
        <v>166</v>
      </c>
      <c r="E47" s="6">
        <f>SUMIFS(flu_eng[fl_staff],flu_eng[trust_code],$B47)</f>
        <v>4088</v>
      </c>
      <c r="F47" s="6">
        <f>SUMIFS(flu_eng[fl_doses],flu_eng[trust_code],$B47)</f>
        <v>1592</v>
      </c>
      <c r="G47" s="7">
        <f t="shared" si="9"/>
        <v>0.38943248532289626</v>
      </c>
      <c r="H47" s="7">
        <f>SUMIFS(flu_eng[fl_5%_target],flu_eng[trust_code],$B47)</f>
        <v>0.37769929399999902</v>
      </c>
      <c r="I47" s="2">
        <f t="shared" si="5"/>
        <v>19</v>
      </c>
      <c r="K47" s="2">
        <v>24</v>
      </c>
      <c r="M47" s="5" t="str">
        <f t="shared" si="6"/>
        <v>L&amp;G</v>
      </c>
      <c r="N47" s="6">
        <f t="shared" si="7"/>
        <v>6639</v>
      </c>
      <c r="O47" s="6">
        <f t="shared" si="8"/>
        <v>2366</v>
      </c>
      <c r="P47" s="7">
        <f t="shared" si="10"/>
        <v>0.35637897273685798</v>
      </c>
      <c r="Q47" s="6">
        <f t="shared" si="11"/>
        <v>4273</v>
      </c>
      <c r="R47" s="23"/>
      <c r="S47" s="30">
        <f t="shared" si="12"/>
        <v>0.35655045600000002</v>
      </c>
      <c r="T47" s="28">
        <f t="shared" si="13"/>
        <v>1.138477383999998</v>
      </c>
      <c r="V47" s="5" t="str">
        <f t="shared" si="14"/>
        <v>SLAM</v>
      </c>
      <c r="W47" s="6">
        <f t="shared" si="15"/>
        <v>4088</v>
      </c>
      <c r="X47" s="6">
        <f t="shared" si="16"/>
        <v>1592</v>
      </c>
      <c r="Y47" s="7">
        <f t="shared" si="17"/>
        <v>0.38943248532289626</v>
      </c>
      <c r="Z47" s="6">
        <f t="shared" si="18"/>
        <v>2496</v>
      </c>
      <c r="AA47" s="23"/>
      <c r="AB47" s="30">
        <f t="shared" si="19"/>
        <v>0.37769929399999902</v>
      </c>
      <c r="AC47" s="28">
        <f t="shared" si="20"/>
        <v>-47.965286128003982</v>
      </c>
    </row>
    <row r="48" spans="2:29" x14ac:dyDescent="0.35">
      <c r="B48" s="5" t="s">
        <v>167</v>
      </c>
      <c r="C48" s="5" t="s">
        <v>168</v>
      </c>
      <c r="D48" s="5" t="s">
        <v>169</v>
      </c>
      <c r="E48" s="6">
        <f>SUMIFS(flu_eng[fl_staff],flu_eng[trust_code],$B48)</f>
        <v>2454</v>
      </c>
      <c r="F48" s="6">
        <f>SUMIFS(flu_eng[fl_doses],flu_eng[trust_code],$B48)</f>
        <v>861</v>
      </c>
      <c r="G48" s="7">
        <f t="shared" si="9"/>
        <v>0.35085574572127137</v>
      </c>
      <c r="H48" s="7">
        <f>SUMIFS(flu_eng[fl_5%_target],flu_eng[trust_code],$B48)</f>
        <v>0.34144274499999999</v>
      </c>
      <c r="I48" s="2">
        <f t="shared" si="5"/>
        <v>25</v>
      </c>
      <c r="K48" s="2">
        <v>25</v>
      </c>
      <c r="M48" s="5" t="str">
        <f t="shared" si="6"/>
        <v>SWL&amp;StG</v>
      </c>
      <c r="N48" s="6">
        <f t="shared" si="7"/>
        <v>2454</v>
      </c>
      <c r="O48" s="6">
        <f t="shared" si="8"/>
        <v>861</v>
      </c>
      <c r="P48" s="7">
        <f t="shared" si="10"/>
        <v>0.35085574572127137</v>
      </c>
      <c r="Q48" s="6">
        <f t="shared" si="11"/>
        <v>1593</v>
      </c>
      <c r="R48" s="23"/>
      <c r="S48" s="30">
        <f t="shared" si="12"/>
        <v>0.34144274499999999</v>
      </c>
      <c r="T48" s="28">
        <f t="shared" si="13"/>
        <v>-23.099503770000069</v>
      </c>
      <c r="V48" s="5" t="str">
        <f t="shared" si="14"/>
        <v>SWL&amp;StG</v>
      </c>
      <c r="W48" s="6">
        <f t="shared" si="15"/>
        <v>2454</v>
      </c>
      <c r="X48" s="6">
        <f t="shared" si="16"/>
        <v>861</v>
      </c>
      <c r="Y48" s="7">
        <f t="shared" si="17"/>
        <v>0.35085574572127137</v>
      </c>
      <c r="Z48" s="6">
        <f t="shared" si="18"/>
        <v>1593</v>
      </c>
      <c r="AA48" s="23"/>
      <c r="AB48" s="30">
        <f t="shared" si="19"/>
        <v>0.34144274499999999</v>
      </c>
      <c r="AC48" s="28">
        <f t="shared" si="20"/>
        <v>-23.099503770000069</v>
      </c>
    </row>
    <row r="49" spans="2:29" x14ac:dyDescent="0.35">
      <c r="B49" s="5" t="s">
        <v>170</v>
      </c>
      <c r="C49" s="5" t="s">
        <v>171</v>
      </c>
      <c r="D49" s="5" t="s">
        <v>172</v>
      </c>
      <c r="E49" s="6">
        <f>SUMIFS(flu_eng[fl_staff],flu_eng[trust_code],$B49)</f>
        <v>6877</v>
      </c>
      <c r="F49" s="6">
        <f>SUMIFS(flu_eng[fl_doses],flu_eng[trust_code],$B49)</f>
        <v>2835</v>
      </c>
      <c r="G49" s="7">
        <f t="shared" si="9"/>
        <v>0.41224371092045953</v>
      </c>
      <c r="H49" s="7">
        <f>SUMIFS(flu_eng[fl_5%_target],flu_eng[trust_code],$B49)</f>
        <v>0.46521953999999999</v>
      </c>
      <c r="I49" s="2">
        <f t="shared" si="5"/>
        <v>15</v>
      </c>
      <c r="K49" s="2">
        <v>26</v>
      </c>
      <c r="M49" s="5" t="str">
        <f t="shared" si="6"/>
        <v>West London</v>
      </c>
      <c r="N49" s="6">
        <f t="shared" si="7"/>
        <v>4258</v>
      </c>
      <c r="O49" s="6">
        <f t="shared" si="8"/>
        <v>1475</v>
      </c>
      <c r="P49" s="7">
        <f t="shared" si="10"/>
        <v>0.34640676373884455</v>
      </c>
      <c r="Q49" s="6">
        <f t="shared" si="11"/>
        <v>2783</v>
      </c>
      <c r="R49" s="23"/>
      <c r="S49" s="30">
        <f t="shared" si="12"/>
        <v>0.35353606799999998</v>
      </c>
      <c r="T49" s="28">
        <f t="shared" si="13"/>
        <v>30.356577543999947</v>
      </c>
      <c r="V49" s="5" t="str">
        <f t="shared" si="14"/>
        <v>St George's</v>
      </c>
      <c r="W49" s="6">
        <f t="shared" si="15"/>
        <v>6877</v>
      </c>
      <c r="X49" s="6">
        <f t="shared" si="16"/>
        <v>2835</v>
      </c>
      <c r="Y49" s="7">
        <f t="shared" si="17"/>
        <v>0.41224371092045953</v>
      </c>
      <c r="Z49" s="6">
        <f t="shared" si="18"/>
        <v>4042</v>
      </c>
      <c r="AA49" s="23"/>
      <c r="AB49" s="30">
        <f t="shared" si="19"/>
        <v>0.46521953999999999</v>
      </c>
      <c r="AC49" s="28">
        <f t="shared" si="20"/>
        <v>364.31477657999994</v>
      </c>
    </row>
    <row r="50" spans="2:29" x14ac:dyDescent="0.35">
      <c r="B50" s="5" t="s">
        <v>173</v>
      </c>
      <c r="C50" s="5" t="s">
        <v>174</v>
      </c>
      <c r="D50" s="5" t="s">
        <v>175</v>
      </c>
      <c r="E50" s="6">
        <f>SUMIFS(flu_eng[fl_staff],flu_eng[trust_code],$B50)</f>
        <v>604</v>
      </c>
      <c r="F50" s="6">
        <f>SUMIFS(flu_eng[fl_doses],flu_eng[trust_code],$B50)</f>
        <v>269</v>
      </c>
      <c r="G50" s="7">
        <f t="shared" si="9"/>
        <v>0.44536423841059603</v>
      </c>
      <c r="H50" s="7">
        <f>SUMIFS(flu_eng[fl_5%_target],flu_eng[trust_code],$B50)</f>
        <v>0.32752293599999999</v>
      </c>
      <c r="I50" s="2">
        <f t="shared" si="5"/>
        <v>9</v>
      </c>
      <c r="K50" s="2">
        <v>27</v>
      </c>
      <c r="M50" s="5" t="str">
        <f t="shared" si="6"/>
        <v>Barts</v>
      </c>
      <c r="N50" s="6">
        <f t="shared" si="7"/>
        <v>21424</v>
      </c>
      <c r="O50" s="6">
        <f t="shared" si="8"/>
        <v>7389</v>
      </c>
      <c r="P50" s="7">
        <f t="shared" si="10"/>
        <v>0.34489357729648989</v>
      </c>
      <c r="Q50" s="6">
        <f t="shared" si="11"/>
        <v>14035</v>
      </c>
      <c r="R50" s="23"/>
      <c r="S50" s="30">
        <f t="shared" si="12"/>
        <v>0.321445602</v>
      </c>
      <c r="T50" s="28">
        <f t="shared" si="13"/>
        <v>-502.34942275200046</v>
      </c>
      <c r="V50" s="5" t="str">
        <f t="shared" si="14"/>
        <v>T&amp;P</v>
      </c>
      <c r="W50" s="6">
        <f t="shared" si="15"/>
        <v>604</v>
      </c>
      <c r="X50" s="6">
        <f t="shared" si="16"/>
        <v>269</v>
      </c>
      <c r="Y50" s="7">
        <f t="shared" si="17"/>
        <v>0.44536423841059603</v>
      </c>
      <c r="Z50" s="6">
        <f t="shared" si="18"/>
        <v>335</v>
      </c>
      <c r="AA50" s="23"/>
      <c r="AB50" s="30">
        <f t="shared" si="19"/>
        <v>0.32752293599999999</v>
      </c>
      <c r="AC50" s="28">
        <f t="shared" si="20"/>
        <v>-71.176146656000014</v>
      </c>
    </row>
    <row r="51" spans="2:29" x14ac:dyDescent="0.35">
      <c r="B51" s="5" t="s">
        <v>176</v>
      </c>
      <c r="C51" s="5" t="s">
        <v>177</v>
      </c>
      <c r="D51" s="5" t="s">
        <v>178</v>
      </c>
      <c r="E51" s="6">
        <f>SUMIFS(flu_eng[fl_staff],flu_eng[trust_code],$B51)</f>
        <v>3053</v>
      </c>
      <c r="F51" s="6">
        <f>SUMIFS(flu_eng[fl_doses],flu_eng[trust_code],$B51)</f>
        <v>1049</v>
      </c>
      <c r="G51" s="7">
        <f t="shared" si="9"/>
        <v>0.34359646249590564</v>
      </c>
      <c r="H51" s="7">
        <f>SUMIFS(flu_eng[fl_5%_target],flu_eng[trust_code],$B51)</f>
        <v>0.35087919200000001</v>
      </c>
      <c r="I51" s="2">
        <f t="shared" si="5"/>
        <v>28</v>
      </c>
      <c r="K51" s="2">
        <v>28</v>
      </c>
      <c r="M51" s="5" t="str">
        <f t="shared" si="6"/>
        <v>Hillingdon</v>
      </c>
      <c r="N51" s="6">
        <f t="shared" si="7"/>
        <v>3053</v>
      </c>
      <c r="O51" s="6">
        <f t="shared" si="8"/>
        <v>1049</v>
      </c>
      <c r="P51" s="7">
        <f t="shared" si="10"/>
        <v>0.34359646249590564</v>
      </c>
      <c r="Q51" s="6">
        <f t="shared" si="11"/>
        <v>2004</v>
      </c>
      <c r="R51" s="23"/>
      <c r="S51" s="30">
        <f t="shared" si="12"/>
        <v>0.35087919200000001</v>
      </c>
      <c r="T51" s="28">
        <f t="shared" si="13"/>
        <v>22.234173176000013</v>
      </c>
      <c r="V51" s="5" t="str">
        <f t="shared" si="14"/>
        <v>Hillingdon</v>
      </c>
      <c r="W51" s="6">
        <f t="shared" si="15"/>
        <v>3053</v>
      </c>
      <c r="X51" s="6">
        <f t="shared" si="16"/>
        <v>1049</v>
      </c>
      <c r="Y51" s="7">
        <f t="shared" si="17"/>
        <v>0.34359646249590564</v>
      </c>
      <c r="Z51" s="6">
        <f t="shared" si="18"/>
        <v>2004</v>
      </c>
      <c r="AA51" s="23"/>
      <c r="AB51" s="30">
        <f t="shared" si="19"/>
        <v>0.35087919200000001</v>
      </c>
      <c r="AC51" s="28">
        <f t="shared" si="20"/>
        <v>22.234173176000013</v>
      </c>
    </row>
    <row r="52" spans="2:29" x14ac:dyDescent="0.35">
      <c r="B52" s="5" t="s">
        <v>179</v>
      </c>
      <c r="C52" s="5" t="s">
        <v>180</v>
      </c>
      <c r="D52" s="5" t="s">
        <v>181</v>
      </c>
      <c r="E52" s="6">
        <f>SUMIFS(flu_eng[fl_staff],flu_eng[trust_code],$B52)</f>
        <v>3385</v>
      </c>
      <c r="F52" s="6">
        <f>SUMIFS(flu_eng[fl_doses],flu_eng[trust_code],$B52)</f>
        <v>1581</v>
      </c>
      <c r="G52" s="7">
        <f t="shared" si="9"/>
        <v>0.46706056129985229</v>
      </c>
      <c r="H52" s="7">
        <f>SUMIFS(flu_eng[fl_5%_target],flu_eng[trust_code],$B52)</f>
        <v>0.483480454</v>
      </c>
      <c r="I52" s="2">
        <f t="shared" si="5"/>
        <v>4</v>
      </c>
      <c r="K52" s="2">
        <v>29</v>
      </c>
      <c r="M52" s="5" t="str">
        <f t="shared" si="6"/>
        <v>CNWL</v>
      </c>
      <c r="N52" s="6">
        <f t="shared" si="7"/>
        <v>5880</v>
      </c>
      <c r="O52" s="6">
        <f t="shared" si="8"/>
        <v>2008</v>
      </c>
      <c r="P52" s="7">
        <f t="shared" si="10"/>
        <v>0.34149659863945581</v>
      </c>
      <c r="Q52" s="6">
        <f t="shared" si="11"/>
        <v>3872</v>
      </c>
      <c r="R52" s="23"/>
      <c r="S52" s="30">
        <f t="shared" si="12"/>
        <v>0.34768177</v>
      </c>
      <c r="T52" s="28">
        <f t="shared" si="13"/>
        <v>36.368807600000082</v>
      </c>
      <c r="V52" s="5" t="str">
        <f t="shared" si="14"/>
        <v>Marsden</v>
      </c>
      <c r="W52" s="6">
        <f t="shared" si="15"/>
        <v>3385</v>
      </c>
      <c r="X52" s="6">
        <f t="shared" si="16"/>
        <v>1581</v>
      </c>
      <c r="Y52" s="7">
        <f t="shared" si="17"/>
        <v>0.46706056129985229</v>
      </c>
      <c r="Z52" s="6">
        <f t="shared" si="18"/>
        <v>1804</v>
      </c>
      <c r="AA52" s="23"/>
      <c r="AB52" s="30">
        <f t="shared" si="19"/>
        <v>0.483480454</v>
      </c>
      <c r="AC52" s="28">
        <f t="shared" si="20"/>
        <v>55.581336790000023</v>
      </c>
    </row>
    <row r="53" spans="2:29" x14ac:dyDescent="0.35">
      <c r="B53" s="5" t="s">
        <v>182</v>
      </c>
      <c r="C53" s="5" t="s">
        <v>183</v>
      </c>
      <c r="D53" s="5" t="s">
        <v>184</v>
      </c>
      <c r="E53" s="6">
        <f>SUMIFS(flu_eng[fl_staff],flu_eng[trust_code],$B53)</f>
        <v>8265</v>
      </c>
      <c r="F53" s="6">
        <f>SUMIFS(flu_eng[fl_doses],flu_eng[trust_code],$B53)</f>
        <v>3638</v>
      </c>
      <c r="G53" s="7">
        <f t="shared" si="9"/>
        <v>0.44016938898971569</v>
      </c>
      <c r="H53" s="7">
        <f>SUMIFS(flu_eng[fl_5%_target],flu_eng[trust_code],$B53)</f>
        <v>0.445920969</v>
      </c>
      <c r="I53" s="2">
        <f t="shared" si="5"/>
        <v>11</v>
      </c>
      <c r="K53" s="2">
        <v>30</v>
      </c>
      <c r="M53" s="5" t="str">
        <f t="shared" si="6"/>
        <v>NELFT</v>
      </c>
      <c r="N53" s="6">
        <f t="shared" si="7"/>
        <v>6043</v>
      </c>
      <c r="O53" s="6">
        <f t="shared" si="8"/>
        <v>1981</v>
      </c>
      <c r="P53" s="7">
        <f t="shared" si="10"/>
        <v>0.32781730928346847</v>
      </c>
      <c r="Q53" s="6">
        <f t="shared" si="11"/>
        <v>4062</v>
      </c>
      <c r="R53" s="23"/>
      <c r="S53" s="30">
        <f t="shared" si="12"/>
        <v>0.34624109999999902</v>
      </c>
      <c r="T53" s="28">
        <f t="shared" si="13"/>
        <v>111.33496729999433</v>
      </c>
      <c r="V53" s="5" t="str">
        <f t="shared" si="14"/>
        <v>UCLH</v>
      </c>
      <c r="W53" s="6">
        <f t="shared" si="15"/>
        <v>8265</v>
      </c>
      <c r="X53" s="6">
        <f t="shared" si="16"/>
        <v>3638</v>
      </c>
      <c r="Y53" s="7">
        <f t="shared" si="17"/>
        <v>0.44016938898971569</v>
      </c>
      <c r="Z53" s="6">
        <f t="shared" si="18"/>
        <v>4627</v>
      </c>
      <c r="AA53" s="23"/>
      <c r="AB53" s="30">
        <f t="shared" si="19"/>
        <v>0.445920969</v>
      </c>
      <c r="AC53" s="28">
        <f t="shared" si="20"/>
        <v>47.536808785000176</v>
      </c>
    </row>
    <row r="54" spans="2:29" x14ac:dyDescent="0.35">
      <c r="B54" s="5" t="s">
        <v>187</v>
      </c>
      <c r="C54" s="5" t="s">
        <v>188</v>
      </c>
      <c r="D54" s="5" t="s">
        <v>189</v>
      </c>
      <c r="E54" s="6">
        <f>SUMIFS(flu_eng[fl_staff],flu_eng[trust_code],$B54)</f>
        <v>4258</v>
      </c>
      <c r="F54" s="6">
        <f>SUMIFS(flu_eng[fl_doses],flu_eng[trust_code],$B54)</f>
        <v>1475</v>
      </c>
      <c r="G54" s="7">
        <f t="shared" si="9"/>
        <v>0.34640676373884455</v>
      </c>
      <c r="H54" s="7">
        <f>SUMIFS(flu_eng[fl_5%_target],flu_eng[trust_code],$B54)</f>
        <v>0.35353606799999998</v>
      </c>
      <c r="I54" s="2">
        <f t="shared" si="5"/>
        <v>26</v>
      </c>
      <c r="K54" s="2">
        <v>31</v>
      </c>
      <c r="M54" s="5" t="str">
        <f t="shared" si="6"/>
        <v>ELFT</v>
      </c>
      <c r="N54" s="6">
        <f t="shared" si="7"/>
        <v>7146</v>
      </c>
      <c r="O54" s="6">
        <f t="shared" si="8"/>
        <v>2284</v>
      </c>
      <c r="P54" s="7">
        <f t="shared" si="10"/>
        <v>0.31961936747830955</v>
      </c>
      <c r="Q54" s="6">
        <f t="shared" si="11"/>
        <v>4862</v>
      </c>
      <c r="R54" s="23"/>
      <c r="S54" s="30">
        <f t="shared" si="12"/>
        <v>0.31933739999999999</v>
      </c>
      <c r="T54" s="28">
        <f t="shared" si="13"/>
        <v>-2.0149396000001616</v>
      </c>
      <c r="V54" s="5" t="str">
        <f t="shared" si="14"/>
        <v>West London</v>
      </c>
      <c r="W54" s="6">
        <f t="shared" si="15"/>
        <v>4258</v>
      </c>
      <c r="X54" s="6">
        <f t="shared" si="16"/>
        <v>1475</v>
      </c>
      <c r="Y54" s="7">
        <f t="shared" si="17"/>
        <v>0.34640676373884455</v>
      </c>
      <c r="Z54" s="6">
        <f t="shared" si="18"/>
        <v>2783</v>
      </c>
      <c r="AA54" s="23"/>
      <c r="AB54" s="30">
        <f t="shared" si="19"/>
        <v>0.35353606799999998</v>
      </c>
      <c r="AC54" s="28">
        <f t="shared" si="20"/>
        <v>30.356577543999947</v>
      </c>
    </row>
    <row r="55" spans="2:29" x14ac:dyDescent="0.35">
      <c r="B55" s="5" t="s">
        <v>185</v>
      </c>
      <c r="C55" s="5" t="s">
        <v>186</v>
      </c>
      <c r="D55" s="5" t="s">
        <v>191</v>
      </c>
      <c r="E55" s="6">
        <f>SUMIFS(flu_eng[fl_staff],flu_eng[trust_code],$B55)</f>
        <v>2956</v>
      </c>
      <c r="F55" s="6">
        <f>SUMIFS(flu_eng[fl_doses],flu_eng[trust_code],$B55)</f>
        <v>1170</v>
      </c>
      <c r="G55" s="7">
        <f t="shared" si="9"/>
        <v>0.39580514208389717</v>
      </c>
      <c r="H55" s="7">
        <f>SUMIFS(flu_eng[fl_5%_target],flu_eng[trust_code],$B55)</f>
        <v>0.39853195199999902</v>
      </c>
      <c r="I55" s="2">
        <f t="shared" si="5"/>
        <v>17</v>
      </c>
      <c r="K55" s="2">
        <v>32</v>
      </c>
      <c r="M55" s="5" t="str">
        <f t="shared" si="6"/>
        <v>North London</v>
      </c>
      <c r="N55" s="6">
        <f t="shared" si="7"/>
        <v>5174</v>
      </c>
      <c r="O55" s="6">
        <f t="shared" si="8"/>
        <v>1650</v>
      </c>
      <c r="P55" s="7">
        <f t="shared" si="10"/>
        <v>0.3189022033243139</v>
      </c>
      <c r="Q55" s="6">
        <f t="shared" si="11"/>
        <v>3524</v>
      </c>
      <c r="R55" s="23"/>
      <c r="S55" s="30">
        <f t="shared" si="12"/>
        <v>0.29190700400000003</v>
      </c>
      <c r="T55" s="28">
        <f t="shared" si="13"/>
        <v>-139.6731613039999</v>
      </c>
      <c r="V55" s="5" t="str">
        <f t="shared" si="14"/>
        <v>Whittington</v>
      </c>
      <c r="W55" s="6">
        <f t="shared" si="15"/>
        <v>2956</v>
      </c>
      <c r="X55" s="6">
        <f t="shared" si="16"/>
        <v>1170</v>
      </c>
      <c r="Y55" s="7">
        <f t="shared" si="17"/>
        <v>0.39580514208389717</v>
      </c>
      <c r="Z55" s="6">
        <f t="shared" si="18"/>
        <v>1786</v>
      </c>
      <c r="AA55" s="23"/>
      <c r="AB55" s="30">
        <f t="shared" si="19"/>
        <v>0.39853195199999902</v>
      </c>
      <c r="AC55" s="28">
        <f t="shared" si="20"/>
        <v>8.0604501119971701</v>
      </c>
    </row>
    <row r="58" spans="2:29" ht="29.15" customHeight="1" x14ac:dyDescent="0.35"/>
    <row r="69" ht="29.15" customHeight="1" x14ac:dyDescent="0.35"/>
  </sheetData>
  <conditionalFormatting sqref="P5:P11">
    <cfRule type="colorScale" priority="26">
      <colorScale>
        <cfvo type="min"/>
        <cfvo type="max"/>
        <color rgb="FFFFEF9C"/>
        <color rgb="FF63BE7B"/>
      </colorScale>
    </cfRule>
  </conditionalFormatting>
  <conditionalFormatting sqref="P15:P19">
    <cfRule type="colorScale" priority="9">
      <colorScale>
        <cfvo type="min"/>
        <cfvo type="max"/>
        <color rgb="FFFFEF9C"/>
        <color rgb="FF63BE7B"/>
      </colorScale>
    </cfRule>
  </conditionalFormatting>
  <conditionalFormatting sqref="P24:P55">
    <cfRule type="colorScale" priority="25">
      <colorScale>
        <cfvo type="min"/>
        <cfvo type="max"/>
        <color rgb="FFFFEF9C"/>
        <color rgb="FF63BE7B"/>
      </colorScale>
    </cfRule>
  </conditionalFormatting>
  <conditionalFormatting sqref="Y24:Y55">
    <cfRule type="colorScale" priority="1">
      <colorScale>
        <cfvo type="min"/>
        <cfvo type="max"/>
        <color rgb="FFFFEF9C"/>
        <color rgb="FF63BE7B"/>
      </colorScale>
    </cfRule>
  </conditionalFormatting>
  <pageMargins left="0.7" right="0.7" top="0.75" bottom="0.75" header="0.3" footer="0.3"/>
  <ignoredErrors>
    <ignoredError sqref="P12"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7BB6-10B8-45FF-A5AE-681299112A5E}">
  <sheetPr>
    <tabColor theme="8"/>
  </sheetPr>
  <dimension ref="B2:AY63"/>
  <sheetViews>
    <sheetView showGridLines="0" tabSelected="1" zoomScale="80" zoomScaleNormal="80" workbookViewId="0"/>
  </sheetViews>
  <sheetFormatPr defaultColWidth="8.54296875" defaultRowHeight="14.5" outlineLevelCol="1" x14ac:dyDescent="0.35"/>
  <cols>
    <col min="1" max="1" width="8.54296875" style="2"/>
    <col min="2" max="2" width="15.08984375" style="2" hidden="1" customWidth="1" outlineLevel="1"/>
    <col min="3" max="3" width="9.36328125" style="2" hidden="1" customWidth="1" outlineLevel="1"/>
    <col min="4" max="4" width="15.08984375" style="2" hidden="1" customWidth="1" outlineLevel="1"/>
    <col min="5" max="5" width="9.36328125" style="2" hidden="1" customWidth="1" outlineLevel="1"/>
    <col min="6" max="6" width="8.54296875" style="2" hidden="1" customWidth="1" outlineLevel="1"/>
    <col min="7" max="7" width="10.81640625" style="2" hidden="1" customWidth="1" outlineLevel="1"/>
    <col min="8" max="8" width="71.54296875" style="2" hidden="1" customWidth="1" outlineLevel="1"/>
    <col min="9" max="11" width="12.54296875" style="2" hidden="1" customWidth="1" outlineLevel="1"/>
    <col min="12" max="20" width="15.54296875" style="2" hidden="1" customWidth="1" outlineLevel="1"/>
    <col min="21" max="24" width="8.81640625" style="2" hidden="1" customWidth="1" outlineLevel="1"/>
    <col min="25" max="25" width="14" style="2" customWidth="1" collapsed="1"/>
    <col min="26" max="34" width="11.54296875" style="2" customWidth="1"/>
    <col min="35" max="35" width="0.81640625" style="2" customWidth="1"/>
    <col min="36" max="37" width="11.54296875" style="2" customWidth="1"/>
    <col min="38" max="38" width="2.81640625" style="2" customWidth="1"/>
    <col min="39" max="39" width="21.54296875" style="2" customWidth="1"/>
    <col min="40" max="48" width="11.54296875" style="2" customWidth="1"/>
    <col min="49" max="49" width="0.81640625" style="2" customWidth="1"/>
    <col min="50" max="51" width="11.54296875" style="2" customWidth="1"/>
    <col min="52" max="52" width="2.81640625" style="2" customWidth="1"/>
    <col min="53" max="16384" width="8.54296875" style="2"/>
  </cols>
  <sheetData>
    <row r="2" spans="24:39" ht="26" x14ac:dyDescent="0.6">
      <c r="Y2" s="11" t="s">
        <v>537</v>
      </c>
    </row>
    <row r="4" spans="24:39" x14ac:dyDescent="0.35">
      <c r="Y4" s="81" t="s">
        <v>641</v>
      </c>
      <c r="Z4" s="82"/>
      <c r="AA4" s="83"/>
      <c r="AC4" s="3"/>
    </row>
    <row r="5" spans="24:39" ht="29" x14ac:dyDescent="0.35">
      <c r="Y5" s="45" t="s">
        <v>552</v>
      </c>
      <c r="Z5" s="45" t="s">
        <v>553</v>
      </c>
      <c r="AA5" s="45" t="s">
        <v>554</v>
      </c>
    </row>
    <row r="6" spans="24:39" x14ac:dyDescent="0.35">
      <c r="Y6" s="8">
        <f>INDEX(flu_aw25[iso_week],MATCH(Z6,flu_aw25[week],0))</f>
        <v>9</v>
      </c>
      <c r="Z6" s="51">
        <f>MAX(flu_aw25[week])</f>
        <v>46076</v>
      </c>
      <c r="AA6" s="51">
        <f>Z6+6</f>
        <v>46082</v>
      </c>
    </row>
    <row r="8" spans="24:39" ht="46" customHeight="1" x14ac:dyDescent="0.35">
      <c r="Y8" s="45" t="s">
        <v>544</v>
      </c>
      <c r="Z8" s="45" t="s">
        <v>555</v>
      </c>
      <c r="AA8" s="45" t="s">
        <v>556</v>
      </c>
      <c r="AB8" s="45" t="s">
        <v>557</v>
      </c>
      <c r="AC8" s="45" t="s">
        <v>558</v>
      </c>
      <c r="AD8" s="45" t="s">
        <v>559</v>
      </c>
      <c r="AE8" s="45" t="s">
        <v>560</v>
      </c>
      <c r="AF8" s="59" t="s">
        <v>561</v>
      </c>
      <c r="AG8" s="59" t="s">
        <v>562</v>
      </c>
      <c r="AH8" s="59" t="s">
        <v>563</v>
      </c>
      <c r="AI8" s="27"/>
      <c r="AJ8" s="47" t="s">
        <v>642</v>
      </c>
      <c r="AK8" s="47" t="s">
        <v>643</v>
      </c>
    </row>
    <row r="9" spans="24:39" x14ac:dyDescent="0.35">
      <c r="X9" s="15"/>
      <c r="Y9" s="5" t="s">
        <v>27</v>
      </c>
      <c r="Z9" s="6">
        <f>SUMIFS($L$18:$L$49,$K$18:$K$49,$Y9)</f>
        <v>48196</v>
      </c>
      <c r="AA9" s="6">
        <f>SUMIFS($M$18:$M$49,$K$18:$K$49,$Y9)</f>
        <v>19243</v>
      </c>
      <c r="AB9" s="7">
        <f>IFERROR(AA9/Z9,"-")</f>
        <v>0.3992654992115528</v>
      </c>
      <c r="AC9" s="6">
        <f>IFERROR(Z9-AA9,"-")</f>
        <v>28953</v>
      </c>
      <c r="AD9" s="7">
        <f>SUMIFS($P$18:$P$49,$K$18:$K$49,$Y9)/SUMIFS($L$18:$L$49,$K$18:$K$49,$Y9)</f>
        <v>0.33077433811934598</v>
      </c>
      <c r="AE9" s="7">
        <f>IFERROR(AB9-AD9,"-")</f>
        <v>6.849116109220682E-2</v>
      </c>
      <c r="AF9" s="6">
        <f>IFERROR(SUMIFS(flu_eng[nfl_staff],flu_eng[icb],$Y9),"-")</f>
        <v>14204</v>
      </c>
      <c r="AG9" s="6">
        <f>IFERROR(SUMIFS(flu_eng[nfl_doses],flu_eng[icb],$Y9),"-")</f>
        <v>5143</v>
      </c>
      <c r="AH9" s="7">
        <f>AG9/AF9</f>
        <v>0.3620811039143903</v>
      </c>
      <c r="AI9" s="23"/>
      <c r="AJ9" s="30">
        <f>0.6-AB9</f>
        <v>0.20073450078844718</v>
      </c>
      <c r="AK9" s="28">
        <f>(Z9*0.6)-AA9</f>
        <v>9674.5999999999985</v>
      </c>
      <c r="AL9" s="55"/>
      <c r="AM9" s="54"/>
    </row>
    <row r="10" spans="24:39" x14ac:dyDescent="0.35">
      <c r="X10" s="15"/>
      <c r="Y10" s="5" t="s">
        <v>190</v>
      </c>
      <c r="Z10" s="6">
        <f>SUMIFS($L$18:$L$49,$K$18:$K$49,$Y10)</f>
        <v>45179</v>
      </c>
      <c r="AA10" s="6">
        <f>SUMIFS($M$18:$M$49,$K$18:$K$49,$Y10)</f>
        <v>16080</v>
      </c>
      <c r="AB10" s="7">
        <f t="shared" ref="AB10:AB14" si="0">IFERROR(AA10/Z10,"-")</f>
        <v>0.35591757232342458</v>
      </c>
      <c r="AC10" s="6">
        <f t="shared" ref="AC10:AC14" si="1">IFERROR(Z10-AA10,"-")</f>
        <v>29099</v>
      </c>
      <c r="AD10" s="7">
        <f>SUMIFS($P$18:$P$49,$K$18:$K$49,$Y10)/SUMIFS($L$18:$L$49,$K$18:$K$49,$Y10)</f>
        <v>0.29834657694946765</v>
      </c>
      <c r="AE10" s="7">
        <f t="shared" ref="AE10:AE14" si="2">IFERROR(AB10-AD10,"-")</f>
        <v>5.7570995373956935E-2</v>
      </c>
      <c r="AF10" s="6">
        <f>IFERROR(SUMIFS(flu_eng[nfl_staff],flu_eng[icb],$Y10),"-")</f>
        <v>11016</v>
      </c>
      <c r="AG10" s="6">
        <f>IFERROR(SUMIFS(flu_eng[nfl_doses],flu_eng[icb],$Y10),"-")</f>
        <v>3320</v>
      </c>
      <c r="AH10" s="7">
        <f t="shared" ref="AH10:AH14" si="3">AG10/AF10</f>
        <v>0.30137981118373275</v>
      </c>
      <c r="AI10" s="23"/>
      <c r="AJ10" s="30">
        <f t="shared" ref="AJ10:AJ14" si="4">0.6-AB10</f>
        <v>0.2440824276765754</v>
      </c>
      <c r="AK10" s="28">
        <f t="shared" ref="AK10:AK14" si="5">(Z10*0.6)-AA10</f>
        <v>11027.399999999998</v>
      </c>
      <c r="AL10" s="55"/>
      <c r="AM10" s="54"/>
    </row>
    <row r="11" spans="24:39" x14ac:dyDescent="0.35">
      <c r="X11" s="15"/>
      <c r="Y11" s="5" t="s">
        <v>192</v>
      </c>
      <c r="Z11" s="6">
        <f>SUMIFS($L$18:$L$49,$K$18:$K$49,$Y11)</f>
        <v>35849</v>
      </c>
      <c r="AA11" s="6">
        <f>SUMIFS($M$18:$M$49,$K$18:$K$49,$Y11)</f>
        <v>14252</v>
      </c>
      <c r="AB11" s="7">
        <f t="shared" si="0"/>
        <v>0.39755641719434293</v>
      </c>
      <c r="AC11" s="6">
        <f t="shared" si="1"/>
        <v>21597</v>
      </c>
      <c r="AD11" s="7">
        <f>SUMIFS($P$18:$P$49,$K$18:$K$49,$Y11)/SUMIFS($L$18:$L$49,$K$18:$K$49,$Y11)</f>
        <v>0.33072052219029818</v>
      </c>
      <c r="AE11" s="7">
        <f t="shared" si="2"/>
        <v>6.6835895004044743E-2</v>
      </c>
      <c r="AF11" s="6">
        <f>IFERROR(SUMIFS(flu_eng[nfl_staff],flu_eng[icb],$Y11),"-")</f>
        <v>16896</v>
      </c>
      <c r="AG11" s="6">
        <f>IFERROR(SUMIFS(flu_eng[nfl_doses],flu_eng[icb],$Y11),"-")</f>
        <v>6046</v>
      </c>
      <c r="AH11" s="7">
        <f t="shared" si="3"/>
        <v>0.35783617424242425</v>
      </c>
      <c r="AI11" s="23"/>
      <c r="AJ11" s="30">
        <f t="shared" si="4"/>
        <v>0.20244358280565705</v>
      </c>
      <c r="AK11" s="28">
        <f t="shared" si="5"/>
        <v>7257.3999999999978</v>
      </c>
      <c r="AL11" s="55"/>
      <c r="AM11" s="54"/>
    </row>
    <row r="12" spans="24:39" x14ac:dyDescent="0.35">
      <c r="X12" s="15"/>
      <c r="Y12" s="5" t="s">
        <v>193</v>
      </c>
      <c r="Z12" s="6">
        <f>SUMIFS($L$18:$L$49,$K$18:$K$49,$Y12)</f>
        <v>40480</v>
      </c>
      <c r="AA12" s="6">
        <f>SUMIFS($M$18:$M$49,$K$18:$K$49,$Y12)</f>
        <v>17032</v>
      </c>
      <c r="AB12" s="7">
        <f t="shared" si="0"/>
        <v>0.4207509881422925</v>
      </c>
      <c r="AC12" s="6">
        <f t="shared" si="1"/>
        <v>23448</v>
      </c>
      <c r="AD12" s="7">
        <f>SUMIFS($P$18:$P$49,$K$18:$K$49,$Y12)/SUMIFS($L$18:$L$49,$K$18:$K$49,$Y12)</f>
        <v>0.34384881422924901</v>
      </c>
      <c r="AE12" s="7">
        <f t="shared" si="2"/>
        <v>7.6902173913043492E-2</v>
      </c>
      <c r="AF12" s="6">
        <f>IFERROR(SUMIFS(flu_eng[nfl_staff],flu_eng[icb],$Y12),"-")</f>
        <v>17152</v>
      </c>
      <c r="AG12" s="6">
        <f>IFERROR(SUMIFS(flu_eng[nfl_doses],flu_eng[icb],$Y12),"-")</f>
        <v>6063</v>
      </c>
      <c r="AH12" s="7">
        <f t="shared" si="3"/>
        <v>0.35348647388059701</v>
      </c>
      <c r="AI12" s="23"/>
      <c r="AJ12" s="30">
        <f t="shared" si="4"/>
        <v>0.17924901185770747</v>
      </c>
      <c r="AK12" s="28">
        <f t="shared" si="5"/>
        <v>7256</v>
      </c>
    </row>
    <row r="13" spans="24:39" x14ac:dyDescent="0.35">
      <c r="X13" s="15"/>
      <c r="Y13" s="5" t="s">
        <v>194</v>
      </c>
      <c r="Z13" s="6">
        <f>SUMIFS($L$18:$L$49,$K$18:$K$49,$Y13)</f>
        <v>25828</v>
      </c>
      <c r="AA13" s="6">
        <f>SUMIFS($M$18:$M$49,$K$18:$K$49,$Y13)</f>
        <v>11050</v>
      </c>
      <c r="AB13" s="7">
        <f t="shared" si="0"/>
        <v>0.42783026173145422</v>
      </c>
      <c r="AC13" s="6">
        <f t="shared" si="1"/>
        <v>14778</v>
      </c>
      <c r="AD13" s="7">
        <f>SUMIFS($P$18:$P$49,$K$18:$K$49,$Y13)/SUMIFS($L$18:$L$49,$K$18:$K$49,$Y13)</f>
        <v>0.39689484280625675</v>
      </c>
      <c r="AE13" s="7">
        <f t="shared" si="2"/>
        <v>3.0935418925197466E-2</v>
      </c>
      <c r="AF13" s="6">
        <f>IFERROR(SUMIFS(flu_eng[nfl_staff],flu_eng[icb],$Y13),"-")</f>
        <v>9233</v>
      </c>
      <c r="AG13" s="6">
        <f>IFERROR(SUMIFS(flu_eng[nfl_doses],flu_eng[icb],$Y13),"-")</f>
        <v>3574</v>
      </c>
      <c r="AH13" s="7">
        <f t="shared" si="3"/>
        <v>0.38708978663489657</v>
      </c>
      <c r="AI13" s="23"/>
      <c r="AJ13" s="30">
        <f t="shared" si="4"/>
        <v>0.17216973826854576</v>
      </c>
      <c r="AK13" s="28">
        <f t="shared" si="5"/>
        <v>4446.7999999999993</v>
      </c>
    </row>
    <row r="14" spans="24:39" x14ac:dyDescent="0.35">
      <c r="Y14" s="8" t="s">
        <v>160</v>
      </c>
      <c r="Z14" s="9">
        <f>IF(SUM(Z9:Z13)=0,"-",SUM(Z9:Z13))</f>
        <v>195532</v>
      </c>
      <c r="AA14" s="9">
        <f>IF(SUM(AA9:AA13)=0,"-",SUM(AA9:AA13))</f>
        <v>77657</v>
      </c>
      <c r="AB14" s="10">
        <f t="shared" si="0"/>
        <v>0.39715749851686682</v>
      </c>
      <c r="AC14" s="9">
        <f t="shared" si="1"/>
        <v>117875</v>
      </c>
      <c r="AD14" s="10">
        <f>IFERROR(SUM($P$18:$P$49)/$Z$14,"-")</f>
        <v>0.33471247673015159</v>
      </c>
      <c r="AE14" s="7">
        <f t="shared" si="2"/>
        <v>6.2445021786715238E-2</v>
      </c>
      <c r="AF14" s="9">
        <f>SUM(AF9:AF13)</f>
        <v>68501</v>
      </c>
      <c r="AG14" s="9">
        <f>SUM(AG9:AG13)</f>
        <v>24146</v>
      </c>
      <c r="AH14" s="10">
        <f t="shared" si="3"/>
        <v>0.3524912045079634</v>
      </c>
      <c r="AI14" s="26"/>
      <c r="AJ14" s="30">
        <f t="shared" si="4"/>
        <v>0.20284250148313315</v>
      </c>
      <c r="AK14" s="28">
        <f t="shared" si="5"/>
        <v>39662.199999999997</v>
      </c>
    </row>
    <row r="16" spans="24:39" x14ac:dyDescent="0.35">
      <c r="Y16" s="3" t="s">
        <v>545</v>
      </c>
      <c r="AM16" s="3" t="s">
        <v>546</v>
      </c>
    </row>
    <row r="17" spans="2:51" ht="61.75" customHeight="1" x14ac:dyDescent="0.35">
      <c r="B17" s="2" t="s">
        <v>639</v>
      </c>
      <c r="C17" s="2" t="s">
        <v>640</v>
      </c>
      <c r="D17" s="2" t="s">
        <v>639</v>
      </c>
      <c r="E17" s="2" t="s">
        <v>640</v>
      </c>
      <c r="G17" s="4" t="s">
        <v>18</v>
      </c>
      <c r="H17" s="4" t="s">
        <v>19</v>
      </c>
      <c r="I17" s="4" t="s">
        <v>20</v>
      </c>
      <c r="J17" s="4" t="s">
        <v>626</v>
      </c>
      <c r="K17" s="4" t="s">
        <v>544</v>
      </c>
      <c r="L17" s="4" t="s">
        <v>547</v>
      </c>
      <c r="M17" s="50" t="s">
        <v>570</v>
      </c>
      <c r="N17" s="4" t="s">
        <v>571</v>
      </c>
      <c r="O17" s="4" t="s">
        <v>548</v>
      </c>
      <c r="P17" s="50" t="s">
        <v>572</v>
      </c>
      <c r="Q17" s="4" t="s">
        <v>573</v>
      </c>
      <c r="R17" s="4" t="s">
        <v>574</v>
      </c>
      <c r="S17" s="4" t="s">
        <v>575</v>
      </c>
      <c r="T17" s="4" t="s">
        <v>576</v>
      </c>
      <c r="Y17" s="45" t="s">
        <v>549</v>
      </c>
      <c r="Z17" s="45" t="s">
        <v>555</v>
      </c>
      <c r="AA17" s="45" t="s">
        <v>556</v>
      </c>
      <c r="AB17" s="45" t="s">
        <v>557</v>
      </c>
      <c r="AC17" s="45" t="s">
        <v>558</v>
      </c>
      <c r="AD17" s="45" t="s">
        <v>559</v>
      </c>
      <c r="AE17" s="45" t="s">
        <v>560</v>
      </c>
      <c r="AF17" s="59" t="s">
        <v>561</v>
      </c>
      <c r="AG17" s="59" t="s">
        <v>562</v>
      </c>
      <c r="AH17" s="59" t="s">
        <v>563</v>
      </c>
      <c r="AI17" s="46"/>
      <c r="AJ17" s="47" t="s">
        <v>642</v>
      </c>
      <c r="AK17" s="47" t="s">
        <v>643</v>
      </c>
      <c r="AM17" s="45" t="s">
        <v>549</v>
      </c>
      <c r="AN17" s="45" t="s">
        <v>555</v>
      </c>
      <c r="AO17" s="45" t="s">
        <v>556</v>
      </c>
      <c r="AP17" s="45" t="s">
        <v>557</v>
      </c>
      <c r="AQ17" s="45" t="s">
        <v>558</v>
      </c>
      <c r="AR17" s="45" t="s">
        <v>559</v>
      </c>
      <c r="AS17" s="45" t="s">
        <v>560</v>
      </c>
      <c r="AT17" s="59" t="s">
        <v>561</v>
      </c>
      <c r="AU17" s="59" t="s">
        <v>562</v>
      </c>
      <c r="AV17" s="59" t="s">
        <v>563</v>
      </c>
      <c r="AW17" s="46"/>
      <c r="AX17" s="47" t="s">
        <v>642</v>
      </c>
      <c r="AY17" s="47" t="s">
        <v>643</v>
      </c>
    </row>
    <row r="18" spans="2:51" x14ac:dyDescent="0.35">
      <c r="B18" s="79">
        <f>_xlfn.MAXIFS(flu_aw25[week],flu_aw25[trust_code],$G18)</f>
        <v>46076</v>
      </c>
      <c r="C18" s="2">
        <f>VLOOKUP($B18,flu_aw25[[week]:[iso_week]],2,0)</f>
        <v>9</v>
      </c>
      <c r="D18" s="79">
        <f>_xlfn.MAXIFS(flu_aw24[week],flu_aw24[trust_code],$G18)</f>
        <v>45740</v>
      </c>
      <c r="E18" s="2">
        <f>VLOOKUP($D18,flu_aw24[[week]:[iso_week]],2,0)</f>
        <v>13</v>
      </c>
      <c r="G18" s="5" t="s">
        <v>30</v>
      </c>
      <c r="H18" s="5" t="s">
        <v>31</v>
      </c>
      <c r="I18" s="5" t="s">
        <v>32</v>
      </c>
      <c r="J18" s="5" t="str">
        <f>VLOOKUP($G18,trust_lookup[],4,0)</f>
        <v>Acute</v>
      </c>
      <c r="K18" s="5" t="s">
        <v>190</v>
      </c>
      <c r="L18" s="6">
        <f>IF(SUMIFS(flu_aw25[flhcw],flu_aw25[trust_code],$G18,flu_aw25[iso_week],$C18)=0,"-",SUMIFS(flu_aw25[flhcw],flu_aw25[trust_code],$G18,flu_aw25[iso_week],$C18))</f>
        <v>6933</v>
      </c>
      <c r="M18" s="6">
        <f>IF(SUMIFS(flu_aw25[cumulative_aw25_vve],flu_aw25[trust_code],$G18,flu_aw25[iso_week],$C18)=0,"-",SUMIFS(flu_aw25[cumulative_aw25_vve],flu_aw25[trust_code],$G18,flu_aw25[iso_week],$C18))</f>
        <v>2732</v>
      </c>
      <c r="N18" s="7">
        <f>IFERROR(M18/L18,"-")</f>
        <v>0.39405740660608685</v>
      </c>
      <c r="O18" s="7">
        <f>SUMIFS(flu_eng[fl_5%_target],flu_eng[trust_code],$G18)</f>
        <v>0.48913520299999902</v>
      </c>
      <c r="P18" s="6">
        <f>IFERROR(SUMIFS(flu_aw24[cumulative_aw24_vve],flu_aw24[trust_code],$G18,flu_aw24[iso_week],$E18),"-")</f>
        <v>2838</v>
      </c>
      <c r="Q18" s="7">
        <f>IFERROR(P18/L18,"-")</f>
        <v>0.409346603202077</v>
      </c>
      <c r="R18" s="6">
        <f>IFERROR(SUMIFS(flu_eng[nfl_staff],flu_eng[trust_code],$G18),"-")</f>
        <v>1842</v>
      </c>
      <c r="S18" s="6">
        <f>IFERROR(SUMIFS(flu_eng[nfl_doses],flu_eng[trust_code],$G18),"-")</f>
        <v>530</v>
      </c>
      <c r="T18" s="7">
        <f>S18/R18</f>
        <v>0.28773072747014117</v>
      </c>
      <c r="U18" s="2">
        <f>IFERROR(_xlfn.RANK.EQ(N18,$N$18:$N$49,0),"")</f>
        <v>18</v>
      </c>
      <c r="W18" s="2">
        <v>1</v>
      </c>
      <c r="Y18" s="5" t="str">
        <f t="shared" ref="Y18:Y49" si="6">IFERROR(INDEX(I$18:I$49,MATCH($W18,$U$18:$U$49,0)),"-")</f>
        <v>GOSH</v>
      </c>
      <c r="Z18" s="6">
        <f>IFERROR(INDEX(L$18:L$49,MATCH($W18,$U$18:$U$49,0)),"-")</f>
        <v>3957</v>
      </c>
      <c r="AA18" s="6">
        <f>IFERROR(INDEX(M$18:M$49,MATCH($W18,$U$18:$U$49,0)),"-")</f>
        <v>2252</v>
      </c>
      <c r="AB18" s="7">
        <f>IFERROR(AA18/Z18,"-")</f>
        <v>0.56911801870103618</v>
      </c>
      <c r="AC18" s="6">
        <f>IFERROR(Z18-AA18,"-")</f>
        <v>1705</v>
      </c>
      <c r="AD18" s="7">
        <f>IFERROR(INDEX(Q$18:Q$49,MATCH($W18,$U$18:$U$49,0)),"-")</f>
        <v>0.44882486732373011</v>
      </c>
      <c r="AE18" s="7">
        <f>IFERROR(AB18-AD18,"-")</f>
        <v>0.12029315137730606</v>
      </c>
      <c r="AF18" s="6">
        <f>IFERROR(INDEX(R$18:R$49,MATCH($W18,$U$18:$U$49,0)),"-")</f>
        <v>1789</v>
      </c>
      <c r="AG18" s="6">
        <f>IFERROR(INDEX(S$18:S$49,MATCH($W18,$U$18:$U$49,0)),"-")</f>
        <v>807</v>
      </c>
      <c r="AH18" s="7">
        <f>IFERROR(AG18/AF18,"-")</f>
        <v>0.45108999441028508</v>
      </c>
      <c r="AI18" s="23"/>
      <c r="AJ18" s="30">
        <f>0.6-AB18</f>
        <v>3.0881981298963801E-2</v>
      </c>
      <c r="AK18" s="28">
        <f t="shared" ref="AK18:AK49" si="7">(Z18*0.6)-AA18</f>
        <v>122.19999999999982</v>
      </c>
      <c r="AM18" s="5" t="str">
        <f t="shared" ref="AM18:AM49" si="8">I18</f>
        <v>BHR</v>
      </c>
      <c r="AN18" s="6">
        <f t="shared" ref="AN18:AN49" si="9">L18</f>
        <v>6933</v>
      </c>
      <c r="AO18" s="6">
        <f t="shared" ref="AO18:AO49" si="10">M18</f>
        <v>2732</v>
      </c>
      <c r="AP18" s="7">
        <f t="shared" ref="AP18:AP49" si="11">N18</f>
        <v>0.39405740660608685</v>
      </c>
      <c r="AQ18" s="6">
        <f>IFERROR(AN18-AO18,"-")</f>
        <v>4201</v>
      </c>
      <c r="AR18" s="7">
        <f>Q18</f>
        <v>0.409346603202077</v>
      </c>
      <c r="AS18" s="7">
        <f>IFERROR(AP18-AR18,"-")</f>
        <v>-1.5289196595990151E-2</v>
      </c>
      <c r="AT18" s="6">
        <f t="shared" ref="AT18" si="12">R18</f>
        <v>1842</v>
      </c>
      <c r="AU18" s="6">
        <f t="shared" ref="AU18" si="13">S18</f>
        <v>530</v>
      </c>
      <c r="AV18" s="7">
        <f t="shared" ref="AV18" si="14">T18</f>
        <v>0.28773072747014117</v>
      </c>
      <c r="AW18" s="23"/>
      <c r="AX18" s="30">
        <f>0.6-AP18</f>
        <v>0.20594259339391313</v>
      </c>
      <c r="AY18" s="28">
        <f t="shared" ref="AY18" si="15">(AN18*0.6)-AO18</f>
        <v>1427.8000000000002</v>
      </c>
    </row>
    <row r="19" spans="2:51" x14ac:dyDescent="0.35">
      <c r="B19" s="79">
        <f>_xlfn.MAXIFS(flu_aw25[week],flu_aw25[trust_code],$G19)</f>
        <v>46076</v>
      </c>
      <c r="C19" s="2">
        <f>VLOOKUP($B19,flu_aw25[[week]:[iso_week]],2,0)</f>
        <v>9</v>
      </c>
      <c r="D19" s="79">
        <f>_xlfn.MAXIFS(flu_aw24[week],flu_aw24[trust_code],$G19)</f>
        <v>45747</v>
      </c>
      <c r="E19" s="2">
        <f>VLOOKUP($D19,flu_aw24[[week]:[iso_week]],2,0)</f>
        <v>14</v>
      </c>
      <c r="G19" s="5" t="s">
        <v>37</v>
      </c>
      <c r="H19" s="5" t="s">
        <v>38</v>
      </c>
      <c r="I19" s="5" t="s">
        <v>39</v>
      </c>
      <c r="J19" s="5" t="str">
        <f>VLOOKUP($G19,trust_lookup[],4,0)</f>
        <v>Acute</v>
      </c>
      <c r="K19" s="5" t="s">
        <v>190</v>
      </c>
      <c r="L19" s="6">
        <f>IF(SUMIFS(flu_aw25[flhcw],flu_aw25[trust_code],$G19,flu_aw25[iso_week],$C19)=0,"-",SUMIFS(flu_aw25[flhcw],flu_aw25[trust_code],$G19,flu_aw25[iso_week],$C19))</f>
        <v>21363</v>
      </c>
      <c r="M19" s="6">
        <f>IF(SUMIFS(flu_aw25[cumulative_aw25_vve],flu_aw25[trust_code],$G19,flu_aw25[iso_week],$C19)=0,"-",SUMIFS(flu_aw25[cumulative_aw25_vve],flu_aw25[trust_code],$G19,flu_aw25[iso_week],$C19))</f>
        <v>7369</v>
      </c>
      <c r="N19" s="7">
        <f t="shared" ref="N19:N49" si="16">IFERROR(M19/L19,"-")</f>
        <v>0.34494218976735475</v>
      </c>
      <c r="O19" s="7">
        <f>SUMIFS(flu_eng[fl_5%_target],flu_eng[trust_code],$G19)</f>
        <v>0.321445602</v>
      </c>
      <c r="P19" s="6">
        <f>IFERROR(SUMIFS(flu_aw24[cumulative_aw24_vve],flu_aw24[trust_code],$G19,flu_aw24[iso_week],$E19),"-")</f>
        <v>5793</v>
      </c>
      <c r="Q19" s="7">
        <f t="shared" ref="Q19:Q49" si="17">IFERROR(P19/L19,"-")</f>
        <v>0.27116977952534754</v>
      </c>
      <c r="R19" s="6">
        <f>IFERROR(SUMIFS(flu_eng[nfl_staff],flu_eng[trust_code],$G19),"-")</f>
        <v>4748</v>
      </c>
      <c r="S19" s="6">
        <f>IFERROR(SUMIFS(flu_eng[nfl_doses],flu_eng[trust_code],$G19),"-")</f>
        <v>1319</v>
      </c>
      <c r="T19" s="7">
        <f t="shared" ref="T19:T49" si="18">S19/R19</f>
        <v>0.27780117944397642</v>
      </c>
      <c r="U19" s="2">
        <f t="shared" ref="U19:U49" si="19">IFERROR(_xlfn.RANK.EQ(N19,$N$18:$N$49,0),"")</f>
        <v>27</v>
      </c>
      <c r="W19" s="2">
        <v>2</v>
      </c>
      <c r="Y19" s="5" t="str">
        <f t="shared" si="6"/>
        <v>Moorfields</v>
      </c>
      <c r="Z19" s="6">
        <f t="shared" ref="Z19:Z49" si="20">IFERROR(INDEX(L$18:L$49,MATCH($W19,$U$18:$U$49,0)),"-")</f>
        <v>1794</v>
      </c>
      <c r="AA19" s="6">
        <f t="shared" ref="AA19:AA49" si="21">IFERROR(INDEX(M$18:M$49,MATCH($W19,$U$18:$U$49,0)),"-")</f>
        <v>916</v>
      </c>
      <c r="AB19" s="7">
        <f t="shared" ref="AB19:AB49" si="22">IFERROR(AA19/Z19,"-")</f>
        <v>0.5105908584169454</v>
      </c>
      <c r="AC19" s="6">
        <f t="shared" ref="AC19:AC49" si="23">IFERROR(Z19-AA19,"-")</f>
        <v>878</v>
      </c>
      <c r="AD19" s="7">
        <f t="shared" ref="AD19:AD49" si="24">IFERROR(INDEX(Q$18:Q$49,MATCH($W19,$U$18:$U$49,0)),"-")</f>
        <v>0.4420289855072464</v>
      </c>
      <c r="AE19" s="7">
        <f t="shared" ref="AE19:AE49" si="25">IFERROR(AB19-AD19,"-")</f>
        <v>6.8561872909699006E-2</v>
      </c>
      <c r="AF19" s="6">
        <f t="shared" ref="AF19:AF49" si="26">IFERROR(INDEX(R$18:R$49,MATCH($W19,$U$18:$U$49,0)),"-")</f>
        <v>1357</v>
      </c>
      <c r="AG19" s="6">
        <f t="shared" ref="AG19:AG49" si="27">IFERROR(INDEX(S$18:S$49,MATCH($W19,$U$18:$U$49,0)),"-")</f>
        <v>448</v>
      </c>
      <c r="AH19" s="7">
        <f t="shared" ref="AH19:AH49" si="28">IFERROR(AG19/AF19,"-")</f>
        <v>0.33014001473839349</v>
      </c>
      <c r="AI19" s="23"/>
      <c r="AJ19" s="30">
        <f t="shared" ref="AJ19:AJ49" si="29">0.6-AB19</f>
        <v>8.9409141583054574E-2</v>
      </c>
      <c r="AK19" s="28">
        <f t="shared" si="7"/>
        <v>160.39999999999986</v>
      </c>
      <c r="AM19" s="5" t="str">
        <f t="shared" si="8"/>
        <v>Barts</v>
      </c>
      <c r="AN19" s="6">
        <f t="shared" si="9"/>
        <v>21363</v>
      </c>
      <c r="AO19" s="6">
        <f t="shared" si="10"/>
        <v>7369</v>
      </c>
      <c r="AP19" s="7">
        <f t="shared" si="11"/>
        <v>0.34494218976735475</v>
      </c>
      <c r="AQ19" s="6">
        <f t="shared" ref="AQ19:AQ49" si="30">IFERROR(AN19-AO19,"-")</f>
        <v>13994</v>
      </c>
      <c r="AR19" s="7">
        <f t="shared" ref="AR19:AR49" si="31">Q19</f>
        <v>0.27116977952534754</v>
      </c>
      <c r="AS19" s="7">
        <f t="shared" ref="AS19:AS49" si="32">IFERROR(AP19-AR19,"-")</f>
        <v>7.3772410242007203E-2</v>
      </c>
      <c r="AT19" s="6">
        <f t="shared" ref="AT19:AT49" si="33">R19</f>
        <v>4748</v>
      </c>
      <c r="AU19" s="6">
        <f t="shared" ref="AU19:AU49" si="34">S19</f>
        <v>1319</v>
      </c>
      <c r="AV19" s="7">
        <f t="shared" ref="AV19:AV49" si="35">T19</f>
        <v>0.27780117944397642</v>
      </c>
      <c r="AW19" s="23"/>
      <c r="AX19" s="30">
        <f t="shared" ref="AX19:AX49" si="36">0.6-AP19</f>
        <v>0.25505781023264523</v>
      </c>
      <c r="AY19" s="28">
        <f t="shared" ref="AY19:AY49" si="37">(AN19*0.6)-AO19</f>
        <v>5448.7999999999993</v>
      </c>
    </row>
    <row r="20" spans="2:51" x14ac:dyDescent="0.35">
      <c r="B20" s="79">
        <f>_xlfn.MAXIFS(flu_aw25[week],flu_aw25[trust_code],$G20)</f>
        <v>46076</v>
      </c>
      <c r="C20" s="2">
        <f>VLOOKUP($B20,flu_aw25[[week]:[iso_week]],2,0)</f>
        <v>9</v>
      </c>
      <c r="D20" s="79">
        <f>_xlfn.MAXIFS(flu_aw24[week],flu_aw24[trust_code],$G20)</f>
        <v>45733</v>
      </c>
      <c r="E20" s="2">
        <f>VLOOKUP($D20,flu_aw24[[week]:[iso_week]],2,0)</f>
        <v>12</v>
      </c>
      <c r="G20" s="5" t="s">
        <v>25</v>
      </c>
      <c r="H20" s="5" t="s">
        <v>26</v>
      </c>
      <c r="I20" s="5" t="s">
        <v>43</v>
      </c>
      <c r="J20" s="5" t="str">
        <f>VLOOKUP($G20,trust_lookup[],4,0)</f>
        <v>Mental Health &amp; Community</v>
      </c>
      <c r="K20" s="5" t="s">
        <v>27</v>
      </c>
      <c r="L20" s="6">
        <f>IF(SUMIFS(flu_aw25[flhcw],flu_aw25[trust_code],$G20,flu_aw25[iso_week],$C20)=0,"-",SUMIFS(flu_aw25[flhcw],flu_aw25[trust_code],$G20,flu_aw25[iso_week],$C20))</f>
        <v>5870</v>
      </c>
      <c r="M20" s="6">
        <f>IF(SUMIFS(flu_aw25[cumulative_aw25_vve],flu_aw25[trust_code],$G20,flu_aw25[iso_week],$C20)=0,"-",SUMIFS(flu_aw25[cumulative_aw25_vve],flu_aw25[trust_code],$G20,flu_aw25[iso_week],$C20))</f>
        <v>2018</v>
      </c>
      <c r="N20" s="7">
        <f t="shared" si="16"/>
        <v>0.34378194207836454</v>
      </c>
      <c r="O20" s="7">
        <f>SUMIFS(flu_eng[fl_5%_target],flu_eng[trust_code],$G20)</f>
        <v>0.34768177</v>
      </c>
      <c r="P20" s="6">
        <f>IFERROR(SUMIFS(flu_aw24[cumulative_aw24_vve],flu_aw24[trust_code],$G20,flu_aw24[iso_week],$E20),"-")</f>
        <v>1741</v>
      </c>
      <c r="Q20" s="7">
        <f t="shared" si="17"/>
        <v>0.29659284497444632</v>
      </c>
      <c r="R20" s="6">
        <f>IFERROR(SUMIFS(flu_eng[nfl_staff],flu_eng[trust_code],$G20),"-")</f>
        <v>2305</v>
      </c>
      <c r="S20" s="6">
        <f>IFERROR(SUMIFS(flu_eng[nfl_doses],flu_eng[trust_code],$G20),"-")</f>
        <v>945</v>
      </c>
      <c r="T20" s="7">
        <f t="shared" si="18"/>
        <v>0.40997830802603036</v>
      </c>
      <c r="U20" s="2">
        <f t="shared" si="19"/>
        <v>28</v>
      </c>
      <c r="W20" s="2">
        <v>3</v>
      </c>
      <c r="Y20" s="5" t="str">
        <f t="shared" si="6"/>
        <v>LAS</v>
      </c>
      <c r="Z20" s="6">
        <f t="shared" si="20"/>
        <v>3747</v>
      </c>
      <c r="AA20" s="6">
        <f t="shared" si="21"/>
        <v>1872</v>
      </c>
      <c r="AB20" s="7">
        <f t="shared" si="22"/>
        <v>0.49959967974379504</v>
      </c>
      <c r="AC20" s="6">
        <f t="shared" si="23"/>
        <v>1875</v>
      </c>
      <c r="AD20" s="7">
        <f t="shared" si="24"/>
        <v>0.40886042167066988</v>
      </c>
      <c r="AE20" s="7">
        <f t="shared" si="25"/>
        <v>9.0739258073125162E-2</v>
      </c>
      <c r="AF20" s="6">
        <f t="shared" si="26"/>
        <v>3603</v>
      </c>
      <c r="AG20" s="6">
        <f t="shared" si="27"/>
        <v>1238</v>
      </c>
      <c r="AH20" s="7">
        <f t="shared" si="28"/>
        <v>0.34360255342769913</v>
      </c>
      <c r="AI20" s="23"/>
      <c r="AJ20" s="30">
        <f t="shared" si="29"/>
        <v>0.10040032025620493</v>
      </c>
      <c r="AK20" s="28">
        <f t="shared" si="7"/>
        <v>376.19999999999982</v>
      </c>
      <c r="AM20" s="5" t="str">
        <f t="shared" si="8"/>
        <v>CNWL</v>
      </c>
      <c r="AN20" s="6">
        <f t="shared" si="9"/>
        <v>5870</v>
      </c>
      <c r="AO20" s="6">
        <f t="shared" si="10"/>
        <v>2018</v>
      </c>
      <c r="AP20" s="7">
        <f t="shared" si="11"/>
        <v>0.34378194207836454</v>
      </c>
      <c r="AQ20" s="6">
        <f t="shared" si="30"/>
        <v>3852</v>
      </c>
      <c r="AR20" s="7">
        <f t="shared" si="31"/>
        <v>0.29659284497444632</v>
      </c>
      <c r="AS20" s="7">
        <f t="shared" si="32"/>
        <v>4.7189097103918221E-2</v>
      </c>
      <c r="AT20" s="6">
        <f t="shared" si="33"/>
        <v>2305</v>
      </c>
      <c r="AU20" s="6">
        <f t="shared" si="34"/>
        <v>945</v>
      </c>
      <c r="AV20" s="7">
        <f t="shared" si="35"/>
        <v>0.40997830802603036</v>
      </c>
      <c r="AW20" s="23"/>
      <c r="AX20" s="30">
        <f t="shared" si="36"/>
        <v>0.25621805792163543</v>
      </c>
      <c r="AY20" s="28">
        <f t="shared" si="37"/>
        <v>1504</v>
      </c>
    </row>
    <row r="21" spans="2:51" x14ac:dyDescent="0.35">
      <c r="B21" s="79">
        <f>_xlfn.MAXIFS(flu_aw25[week],flu_aw25[trust_code],$G21)</f>
        <v>46076</v>
      </c>
      <c r="C21" s="2">
        <f>VLOOKUP($B21,flu_aw25[[week]:[iso_week]],2,0)</f>
        <v>9</v>
      </c>
      <c r="D21" s="79">
        <f>_xlfn.MAXIFS(flu_aw24[week],flu_aw24[trust_code],$G21)</f>
        <v>45747</v>
      </c>
      <c r="E21" s="2">
        <f>VLOOKUP($D21,flu_aw24[[week]:[iso_week]],2,0)</f>
        <v>14</v>
      </c>
      <c r="G21" s="5" t="s">
        <v>48</v>
      </c>
      <c r="H21" s="5" t="s">
        <v>49</v>
      </c>
      <c r="I21" s="5" t="s">
        <v>50</v>
      </c>
      <c r="J21" s="5" t="str">
        <f>VLOOKUP($G21,trust_lookup[],4,0)</f>
        <v>Community</v>
      </c>
      <c r="K21" s="5" t="s">
        <v>192</v>
      </c>
      <c r="L21" s="6">
        <f>IF(SUMIFS(flu_aw25[flhcw],flu_aw25[trust_code],$G21,flu_aw25[iso_week],$C21)=0,"-",SUMIFS(flu_aw25[flhcw],flu_aw25[trust_code],$G21,flu_aw25[iso_week],$C21))</f>
        <v>4118</v>
      </c>
      <c r="M21" s="6">
        <f>IF(SUMIFS(flu_aw25[cumulative_aw25_vve],flu_aw25[trust_code],$G21,flu_aw25[iso_week],$C21)=0,"-",SUMIFS(flu_aw25[cumulative_aw25_vve],flu_aw25[trust_code],$G21,flu_aw25[iso_week],$C21))</f>
        <v>1549</v>
      </c>
      <c r="N21" s="7">
        <f t="shared" si="16"/>
        <v>0.37615347255949488</v>
      </c>
      <c r="O21" s="7">
        <f>SUMIFS(flu_eng[fl_5%_target],flu_eng[trust_code],$G21)</f>
        <v>0.34633582400000001</v>
      </c>
      <c r="P21" s="6">
        <f>IFERROR(SUMIFS(flu_aw24[cumulative_aw24_vve],flu_aw24[trust_code],$G21,flu_aw24[iso_week],$E21),"-")</f>
        <v>1216</v>
      </c>
      <c r="Q21" s="7">
        <f t="shared" si="17"/>
        <v>0.29528897523069453</v>
      </c>
      <c r="R21" s="6">
        <f>IFERROR(SUMIFS(flu_eng[nfl_staff],flu_eng[trust_code],$G21),"-")</f>
        <v>761</v>
      </c>
      <c r="S21" s="6">
        <f>IFERROR(SUMIFS(flu_eng[nfl_doses],flu_eng[trust_code],$G21),"-")</f>
        <v>247</v>
      </c>
      <c r="T21" s="7">
        <f t="shared" si="18"/>
        <v>0.32457293035479634</v>
      </c>
      <c r="U21" s="2">
        <f t="shared" si="19"/>
        <v>21</v>
      </c>
      <c r="W21" s="2">
        <v>4</v>
      </c>
      <c r="Y21" s="5" t="str">
        <f t="shared" si="6"/>
        <v>Marsden</v>
      </c>
      <c r="Z21" s="6">
        <f t="shared" si="20"/>
        <v>3394</v>
      </c>
      <c r="AA21" s="6">
        <f t="shared" si="21"/>
        <v>1578</v>
      </c>
      <c r="AB21" s="7">
        <f t="shared" si="22"/>
        <v>0.46493812610489099</v>
      </c>
      <c r="AC21" s="6">
        <f t="shared" si="23"/>
        <v>1816</v>
      </c>
      <c r="AD21" s="7">
        <f t="shared" si="24"/>
        <v>0.41602828520919272</v>
      </c>
      <c r="AE21" s="7">
        <f t="shared" si="25"/>
        <v>4.8909840895698276E-2</v>
      </c>
      <c r="AF21" s="6">
        <f t="shared" si="26"/>
        <v>1538</v>
      </c>
      <c r="AG21" s="6">
        <f t="shared" si="27"/>
        <v>603</v>
      </c>
      <c r="AH21" s="7">
        <f t="shared" si="28"/>
        <v>0.39206762028608583</v>
      </c>
      <c r="AI21" s="23"/>
      <c r="AJ21" s="30">
        <f t="shared" si="29"/>
        <v>0.13506187389510899</v>
      </c>
      <c r="AK21" s="28">
        <f t="shared" si="7"/>
        <v>458.39999999999986</v>
      </c>
      <c r="AM21" s="5" t="str">
        <f t="shared" si="8"/>
        <v>CLCH</v>
      </c>
      <c r="AN21" s="6">
        <f t="shared" si="9"/>
        <v>4118</v>
      </c>
      <c r="AO21" s="6">
        <f t="shared" si="10"/>
        <v>1549</v>
      </c>
      <c r="AP21" s="7">
        <f t="shared" si="11"/>
        <v>0.37615347255949488</v>
      </c>
      <c r="AQ21" s="6">
        <f t="shared" si="30"/>
        <v>2569</v>
      </c>
      <c r="AR21" s="7">
        <f t="shared" si="31"/>
        <v>0.29528897523069453</v>
      </c>
      <c r="AS21" s="7">
        <f t="shared" si="32"/>
        <v>8.0864497328800355E-2</v>
      </c>
      <c r="AT21" s="6">
        <f t="shared" si="33"/>
        <v>761</v>
      </c>
      <c r="AU21" s="6">
        <f t="shared" si="34"/>
        <v>247</v>
      </c>
      <c r="AV21" s="7">
        <f t="shared" si="35"/>
        <v>0.32457293035479634</v>
      </c>
      <c r="AW21" s="23"/>
      <c r="AX21" s="30">
        <f t="shared" si="36"/>
        <v>0.22384652744050509</v>
      </c>
      <c r="AY21" s="28">
        <f t="shared" si="37"/>
        <v>921.79999999999973</v>
      </c>
    </row>
    <row r="22" spans="2:51" x14ac:dyDescent="0.35">
      <c r="B22" s="79">
        <f>_xlfn.MAXIFS(flu_aw25[week],flu_aw25[trust_code],$G22)</f>
        <v>46062</v>
      </c>
      <c r="C22" s="2">
        <f>VLOOKUP($B22,flu_aw25[[week]:[iso_week]],2,0)</f>
        <v>7</v>
      </c>
      <c r="D22" s="79">
        <f>_xlfn.MAXIFS(flu_aw24[week],flu_aw24[trust_code],$G22)</f>
        <v>45733</v>
      </c>
      <c r="E22" s="2">
        <f>VLOOKUP($D22,flu_aw24[[week]:[iso_week]],2,0)</f>
        <v>12</v>
      </c>
      <c r="G22" s="5" t="s">
        <v>55</v>
      </c>
      <c r="H22" s="5" t="s">
        <v>56</v>
      </c>
      <c r="I22" s="5" t="s">
        <v>57</v>
      </c>
      <c r="J22" s="5" t="str">
        <f>VLOOKUP($G22,trust_lookup[],4,0)</f>
        <v>Acute</v>
      </c>
      <c r="K22" s="5" t="s">
        <v>192</v>
      </c>
      <c r="L22" s="6">
        <f>IF(SUMIFS(flu_aw25[flhcw],flu_aw25[trust_code],$G22,flu_aw25[iso_week],$C22)=0,"-",SUMIFS(flu_aw25[flhcw],flu_aw25[trust_code],$G22,flu_aw25[iso_week],$C22))</f>
        <v>4899</v>
      </c>
      <c r="M22" s="6">
        <f>IF(SUMIFS(flu_aw25[cumulative_aw25_vve],flu_aw25[trust_code],$G22,flu_aw25[iso_week],$C22)=0,"-",SUMIFS(flu_aw25[cumulative_aw25_vve],flu_aw25[trust_code],$G22,flu_aw25[iso_week],$C22))</f>
        <v>2185</v>
      </c>
      <c r="N22" s="7">
        <f t="shared" si="16"/>
        <v>0.4460093896713615</v>
      </c>
      <c r="O22" s="7">
        <f>SUMIFS(flu_eng[fl_5%_target],flu_eng[trust_code],$G22)</f>
        <v>0.42991803299999998</v>
      </c>
      <c r="P22" s="6">
        <f>IFERROR(SUMIFS(flu_aw24[cumulative_aw24_vve],flu_aw24[trust_code],$G22,flu_aw24[iso_week],$E22),"-")</f>
        <v>1769</v>
      </c>
      <c r="Q22" s="7">
        <f t="shared" si="17"/>
        <v>0.36109410083690552</v>
      </c>
      <c r="R22" s="6">
        <f>IFERROR(SUMIFS(flu_eng[nfl_staff],flu_eng[trust_code],$G22),"-")</f>
        <v>2079</v>
      </c>
      <c r="S22" s="6">
        <f>IFERROR(SUMIFS(flu_eng[nfl_doses],flu_eng[trust_code],$G22),"-")</f>
        <v>818</v>
      </c>
      <c r="T22" s="7">
        <f t="shared" si="18"/>
        <v>0.39345839345839345</v>
      </c>
      <c r="U22" s="2">
        <f t="shared" si="19"/>
        <v>8</v>
      </c>
      <c r="W22" s="2">
        <v>5</v>
      </c>
      <c r="Y22" s="5" t="str">
        <f t="shared" si="6"/>
        <v>K&amp;R FT</v>
      </c>
      <c r="Z22" s="6">
        <f t="shared" si="20"/>
        <v>3808</v>
      </c>
      <c r="AA22" s="6">
        <f t="shared" si="21"/>
        <v>1766</v>
      </c>
      <c r="AB22" s="7">
        <f t="shared" si="22"/>
        <v>0.46376050420168069</v>
      </c>
      <c r="AC22" s="6">
        <f t="shared" si="23"/>
        <v>2042</v>
      </c>
      <c r="AD22" s="7">
        <f t="shared" si="24"/>
        <v>0.43198529411764708</v>
      </c>
      <c r="AE22" s="7">
        <f t="shared" si="25"/>
        <v>3.1775210084033612E-2</v>
      </c>
      <c r="AF22" s="6">
        <f t="shared" si="26"/>
        <v>1128</v>
      </c>
      <c r="AG22" s="6">
        <f t="shared" si="27"/>
        <v>470</v>
      </c>
      <c r="AH22" s="7">
        <f t="shared" si="28"/>
        <v>0.41666666666666669</v>
      </c>
      <c r="AI22" s="23"/>
      <c r="AJ22" s="30">
        <f t="shared" si="29"/>
        <v>0.13623949579831929</v>
      </c>
      <c r="AK22" s="28">
        <f t="shared" si="7"/>
        <v>518.79999999999973</v>
      </c>
      <c r="AM22" s="5" t="str">
        <f t="shared" si="8"/>
        <v>ChelWest</v>
      </c>
      <c r="AN22" s="6">
        <f t="shared" si="9"/>
        <v>4899</v>
      </c>
      <c r="AO22" s="6">
        <f t="shared" si="10"/>
        <v>2185</v>
      </c>
      <c r="AP22" s="7">
        <f t="shared" si="11"/>
        <v>0.4460093896713615</v>
      </c>
      <c r="AQ22" s="6">
        <f t="shared" si="30"/>
        <v>2714</v>
      </c>
      <c r="AR22" s="7">
        <f t="shared" si="31"/>
        <v>0.36109410083690552</v>
      </c>
      <c r="AS22" s="7">
        <f t="shared" si="32"/>
        <v>8.4915288834455982E-2</v>
      </c>
      <c r="AT22" s="6">
        <f t="shared" si="33"/>
        <v>2079</v>
      </c>
      <c r="AU22" s="6">
        <f t="shared" si="34"/>
        <v>818</v>
      </c>
      <c r="AV22" s="7">
        <f t="shared" si="35"/>
        <v>0.39345839345839345</v>
      </c>
      <c r="AW22" s="23"/>
      <c r="AX22" s="30">
        <f t="shared" si="36"/>
        <v>0.15399061032863848</v>
      </c>
      <c r="AY22" s="28">
        <f t="shared" si="37"/>
        <v>754.40000000000009</v>
      </c>
    </row>
    <row r="23" spans="2:51" x14ac:dyDescent="0.35">
      <c r="B23" s="79">
        <f>_xlfn.MAXIFS(flu_aw25[week],flu_aw25[trust_code],$G23)</f>
        <v>46076</v>
      </c>
      <c r="C23" s="2">
        <f>VLOOKUP($B23,flu_aw25[[week]:[iso_week]],2,0)</f>
        <v>9</v>
      </c>
      <c r="D23" s="79">
        <f>_xlfn.MAXIFS(flu_aw24[week],flu_aw24[trust_code],$G23)</f>
        <v>45740</v>
      </c>
      <c r="E23" s="2">
        <f>VLOOKUP($D23,flu_aw24[[week]:[iso_week]],2,0)</f>
        <v>13</v>
      </c>
      <c r="G23" s="5" t="s">
        <v>62</v>
      </c>
      <c r="H23" s="5" t="s">
        <v>63</v>
      </c>
      <c r="I23" s="5" t="s">
        <v>64</v>
      </c>
      <c r="J23" s="5" t="str">
        <f>VLOOKUP($G23,trust_lookup[],4,0)</f>
        <v>Acute &amp; Community</v>
      </c>
      <c r="K23" s="5" t="s">
        <v>194</v>
      </c>
      <c r="L23" s="6">
        <f>IF(SUMIFS(flu_aw25[flhcw],flu_aw25[trust_code],$G23,flu_aw25[iso_week],$C23)=0,"-",SUMIFS(flu_aw25[flhcw],flu_aw25[trust_code],$G23,flu_aw25[iso_week],$C23))</f>
        <v>3343</v>
      </c>
      <c r="M23" s="6">
        <f>IF(SUMIFS(flu_aw25[cumulative_aw25_vve],flu_aw25[trust_code],$G23,flu_aw25[iso_week],$C23)=0,"-",SUMIFS(flu_aw25[cumulative_aw25_vve],flu_aw25[trust_code],$G23,flu_aw25[iso_week],$C23))</f>
        <v>1351</v>
      </c>
      <c r="N23" s="7">
        <f t="shared" si="16"/>
        <v>0.40412802871672149</v>
      </c>
      <c r="O23" s="7">
        <f>SUMIFS(flu_eng[fl_5%_target],flu_eng[trust_code],$G23)</f>
        <v>0.45672782899999997</v>
      </c>
      <c r="P23" s="6">
        <f>IFERROR(SUMIFS(flu_aw24[cumulative_aw24_vve],flu_aw24[trust_code],$G23,flu_aw24[iso_week],$E23),"-")</f>
        <v>1304</v>
      </c>
      <c r="Q23" s="7">
        <f t="shared" si="17"/>
        <v>0.39006880047861203</v>
      </c>
      <c r="R23" s="6">
        <f>IFERROR(SUMIFS(flu_eng[nfl_staff],flu_eng[trust_code],$G23),"-")</f>
        <v>1177</v>
      </c>
      <c r="S23" s="6">
        <f>IFERROR(SUMIFS(flu_eng[nfl_doses],flu_eng[trust_code],$G23),"-")</f>
        <v>442</v>
      </c>
      <c r="T23" s="7">
        <f t="shared" si="18"/>
        <v>0.37553101104502973</v>
      </c>
      <c r="U23" s="2">
        <f t="shared" si="19"/>
        <v>16</v>
      </c>
      <c r="W23" s="2">
        <v>6</v>
      </c>
      <c r="Y23" s="5" t="str">
        <f t="shared" si="6"/>
        <v>King's</v>
      </c>
      <c r="Z23" s="6">
        <f t="shared" si="20"/>
        <v>9605</v>
      </c>
      <c r="AA23" s="6">
        <f t="shared" si="21"/>
        <v>4447</v>
      </c>
      <c r="AB23" s="7">
        <f t="shared" si="22"/>
        <v>0.46298802706923475</v>
      </c>
      <c r="AC23" s="6">
        <f t="shared" si="23"/>
        <v>5158</v>
      </c>
      <c r="AD23" s="7">
        <f t="shared" si="24"/>
        <v>0.3925039042165539</v>
      </c>
      <c r="AE23" s="7">
        <f t="shared" si="25"/>
        <v>7.0484122852680853E-2</v>
      </c>
      <c r="AF23" s="6">
        <f t="shared" si="26"/>
        <v>4895</v>
      </c>
      <c r="AG23" s="6">
        <f t="shared" si="27"/>
        <v>1530</v>
      </c>
      <c r="AH23" s="7">
        <f t="shared" si="28"/>
        <v>0.31256384065372828</v>
      </c>
      <c r="AI23" s="23"/>
      <c r="AJ23" s="30">
        <f t="shared" si="29"/>
        <v>0.13701197293076522</v>
      </c>
      <c r="AK23" s="28">
        <f t="shared" si="7"/>
        <v>1316</v>
      </c>
      <c r="AM23" s="5" t="str">
        <f t="shared" si="8"/>
        <v>Croydon</v>
      </c>
      <c r="AN23" s="6">
        <f t="shared" si="9"/>
        <v>3343</v>
      </c>
      <c r="AO23" s="6">
        <f t="shared" si="10"/>
        <v>1351</v>
      </c>
      <c r="AP23" s="7">
        <f t="shared" si="11"/>
        <v>0.40412802871672149</v>
      </c>
      <c r="AQ23" s="6">
        <f t="shared" si="30"/>
        <v>1992</v>
      </c>
      <c r="AR23" s="7">
        <f t="shared" si="31"/>
        <v>0.39006880047861203</v>
      </c>
      <c r="AS23" s="7">
        <f t="shared" si="32"/>
        <v>1.4059228238109456E-2</v>
      </c>
      <c r="AT23" s="6">
        <f t="shared" si="33"/>
        <v>1177</v>
      </c>
      <c r="AU23" s="6">
        <f t="shared" si="34"/>
        <v>442</v>
      </c>
      <c r="AV23" s="7">
        <f t="shared" si="35"/>
        <v>0.37553101104502973</v>
      </c>
      <c r="AW23" s="23"/>
      <c r="AX23" s="30">
        <f t="shared" si="36"/>
        <v>0.19587197128327849</v>
      </c>
      <c r="AY23" s="28">
        <f t="shared" si="37"/>
        <v>654.79999999999995</v>
      </c>
    </row>
    <row r="24" spans="2:51" x14ac:dyDescent="0.35">
      <c r="B24" s="79">
        <f>_xlfn.MAXIFS(flu_aw25[week],flu_aw25[trust_code],$G24)</f>
        <v>46076</v>
      </c>
      <c r="C24" s="2">
        <f>VLOOKUP($B24,flu_aw25[[week]:[iso_week]],2,0)</f>
        <v>9</v>
      </c>
      <c r="D24" s="79">
        <f>_xlfn.MAXIFS(flu_aw24[week],flu_aw24[trust_code],$G24)</f>
        <v>45747</v>
      </c>
      <c r="E24" s="2">
        <f>VLOOKUP($D24,flu_aw24[[week]:[iso_week]],2,0)</f>
        <v>14</v>
      </c>
      <c r="G24" s="5" t="s">
        <v>69</v>
      </c>
      <c r="H24" s="5" t="s">
        <v>70</v>
      </c>
      <c r="I24" s="5" t="s">
        <v>71</v>
      </c>
      <c r="J24" s="5" t="str">
        <f>VLOOKUP($G24,trust_lookup[],4,0)</f>
        <v>Mental Health &amp; Community</v>
      </c>
      <c r="K24" s="5" t="s">
        <v>190</v>
      </c>
      <c r="L24" s="6">
        <f>IF(SUMIFS(flu_aw25[flhcw],flu_aw25[trust_code],$G24,flu_aw25[iso_week],$C24)=0,"-",SUMIFS(flu_aw25[flhcw],flu_aw25[trust_code],$G24,flu_aw25[iso_week],$C24))</f>
        <v>7143</v>
      </c>
      <c r="M24" s="6">
        <f>IF(SUMIFS(flu_aw25[cumulative_aw25_vve],flu_aw25[trust_code],$G24,flu_aw25[iso_week],$C24)=0,"-",SUMIFS(flu_aw25[cumulative_aw25_vve],flu_aw25[trust_code],$G24,flu_aw25[iso_week],$C24))</f>
        <v>2296</v>
      </c>
      <c r="N24" s="7">
        <f t="shared" si="16"/>
        <v>0.32143357132857342</v>
      </c>
      <c r="O24" s="7">
        <f>SUMIFS(flu_eng[fl_5%_target],flu_eng[trust_code],$G24)</f>
        <v>0.31933739999999999</v>
      </c>
      <c r="P24" s="6">
        <f>IFERROR(SUMIFS(flu_aw24[cumulative_aw24_vve],flu_aw24[trust_code],$G24,flu_aw24[iso_week],$E24),"-")</f>
        <v>1888</v>
      </c>
      <c r="Q24" s="7">
        <f t="shared" si="17"/>
        <v>0.2643147137057259</v>
      </c>
      <c r="R24" s="6">
        <f>IFERROR(SUMIFS(flu_eng[nfl_staff],flu_eng[trust_code],$G24),"-")</f>
        <v>1629</v>
      </c>
      <c r="S24" s="6">
        <f>IFERROR(SUMIFS(flu_eng[nfl_doses],flu_eng[trust_code],$G24),"-")</f>
        <v>524</v>
      </c>
      <c r="T24" s="7">
        <f t="shared" si="18"/>
        <v>0.32166973603437693</v>
      </c>
      <c r="U24" s="2">
        <f t="shared" si="19"/>
        <v>31</v>
      </c>
      <c r="W24" s="2">
        <v>7</v>
      </c>
      <c r="Y24" s="5" t="str">
        <f t="shared" si="6"/>
        <v>Homerton</v>
      </c>
      <c r="Z24" s="6">
        <f t="shared" si="20"/>
        <v>3664</v>
      </c>
      <c r="AA24" s="6">
        <f t="shared" si="21"/>
        <v>1696</v>
      </c>
      <c r="AB24" s="7">
        <f t="shared" si="22"/>
        <v>0.46288209606986902</v>
      </c>
      <c r="AC24" s="6">
        <f t="shared" si="23"/>
        <v>1968</v>
      </c>
      <c r="AD24" s="7">
        <f t="shared" si="24"/>
        <v>0.32751091703056767</v>
      </c>
      <c r="AE24" s="7">
        <f t="shared" si="25"/>
        <v>0.13537117903930135</v>
      </c>
      <c r="AF24" s="6">
        <f t="shared" si="26"/>
        <v>1309</v>
      </c>
      <c r="AG24" s="6">
        <f t="shared" si="27"/>
        <v>408</v>
      </c>
      <c r="AH24" s="7">
        <f t="shared" si="28"/>
        <v>0.31168831168831168</v>
      </c>
      <c r="AI24" s="23"/>
      <c r="AJ24" s="30">
        <f t="shared" si="29"/>
        <v>0.13711790393013096</v>
      </c>
      <c r="AK24" s="28">
        <f t="shared" si="7"/>
        <v>502.40000000000009</v>
      </c>
      <c r="AM24" s="5" t="str">
        <f t="shared" si="8"/>
        <v>ELFT</v>
      </c>
      <c r="AN24" s="6">
        <f t="shared" si="9"/>
        <v>7143</v>
      </c>
      <c r="AO24" s="6">
        <f t="shared" si="10"/>
        <v>2296</v>
      </c>
      <c r="AP24" s="7">
        <f t="shared" si="11"/>
        <v>0.32143357132857342</v>
      </c>
      <c r="AQ24" s="6">
        <f t="shared" si="30"/>
        <v>4847</v>
      </c>
      <c r="AR24" s="7">
        <f t="shared" si="31"/>
        <v>0.2643147137057259</v>
      </c>
      <c r="AS24" s="7">
        <f t="shared" si="32"/>
        <v>5.7118857622847519E-2</v>
      </c>
      <c r="AT24" s="6">
        <f t="shared" si="33"/>
        <v>1629</v>
      </c>
      <c r="AU24" s="6">
        <f t="shared" si="34"/>
        <v>524</v>
      </c>
      <c r="AV24" s="7">
        <f t="shared" si="35"/>
        <v>0.32166973603437693</v>
      </c>
      <c r="AW24" s="23"/>
      <c r="AX24" s="30">
        <f t="shared" si="36"/>
        <v>0.27856642867142656</v>
      </c>
      <c r="AY24" s="28">
        <f t="shared" si="37"/>
        <v>1989.8000000000002</v>
      </c>
    </row>
    <row r="25" spans="2:51" x14ac:dyDescent="0.35">
      <c r="B25" s="79">
        <f>_xlfn.MAXIFS(flu_aw25[week],flu_aw25[trust_code],$G25)</f>
        <v>46076</v>
      </c>
      <c r="C25" s="2">
        <f>VLOOKUP($B25,flu_aw25[[week]:[iso_week]],2,0)</f>
        <v>9</v>
      </c>
      <c r="D25" s="79">
        <f>_xlfn.MAXIFS(flu_aw24[week],flu_aw24[trust_code],$G25)</f>
        <v>45740</v>
      </c>
      <c r="E25" s="2">
        <f>VLOOKUP($D25,flu_aw24[[week]:[iso_week]],2,0)</f>
        <v>13</v>
      </c>
      <c r="G25" s="5" t="s">
        <v>76</v>
      </c>
      <c r="H25" s="5" t="s">
        <v>77</v>
      </c>
      <c r="I25" s="5" t="s">
        <v>78</v>
      </c>
      <c r="J25" s="5" t="str">
        <f>VLOOKUP($G25,trust_lookup[],4,0)</f>
        <v>Acute</v>
      </c>
      <c r="K25" s="5" t="s">
        <v>194</v>
      </c>
      <c r="L25" s="6">
        <f>IF(SUMIFS(flu_aw25[flhcw],flu_aw25[trust_code],$G25,flu_aw25[iso_week],$C25)=0,"-",SUMIFS(flu_aw25[flhcw],flu_aw25[trust_code],$G25,flu_aw25[iso_week],$C25))</f>
        <v>5931</v>
      </c>
      <c r="M25" s="6">
        <f>IF(SUMIFS(flu_aw25[cumulative_aw25_vve],flu_aw25[trust_code],$G25,flu_aw25[iso_week],$C25)=0,"-",SUMIFS(flu_aw25[cumulative_aw25_vve],flu_aw25[trust_code],$G25,flu_aw25[iso_week],$C25))</f>
        <v>2643</v>
      </c>
      <c r="N25" s="7">
        <f t="shared" si="16"/>
        <v>0.4456246838644411</v>
      </c>
      <c r="O25" s="7">
        <f>SUMIFS(flu_eng[fl_5%_target],flu_eng[trust_code],$G25)</f>
        <v>0.463787055</v>
      </c>
      <c r="P25" s="6">
        <f>IFERROR(SUMIFS(flu_aw24[cumulative_aw24_vve],flu_aw24[trust_code],$G25,flu_aw24[iso_week],$E25),"-")</f>
        <v>2398</v>
      </c>
      <c r="Q25" s="7">
        <f t="shared" si="17"/>
        <v>0.4043163041645591</v>
      </c>
      <c r="R25" s="6">
        <f>IFERROR(SUMIFS(flu_eng[nfl_staff],flu_eng[trust_code],$G25),"-")</f>
        <v>1219</v>
      </c>
      <c r="S25" s="6">
        <f>IFERROR(SUMIFS(flu_eng[nfl_doses],flu_eng[trust_code],$G25),"-")</f>
        <v>548</v>
      </c>
      <c r="T25" s="7">
        <f t="shared" si="18"/>
        <v>0.44954881050041018</v>
      </c>
      <c r="U25" s="2">
        <f t="shared" si="19"/>
        <v>9</v>
      </c>
      <c r="W25" s="2">
        <v>8</v>
      </c>
      <c r="Y25" s="5" t="str">
        <f t="shared" si="6"/>
        <v>ChelWest</v>
      </c>
      <c r="Z25" s="6">
        <f t="shared" si="20"/>
        <v>4899</v>
      </c>
      <c r="AA25" s="6">
        <f t="shared" si="21"/>
        <v>2185</v>
      </c>
      <c r="AB25" s="7">
        <f t="shared" si="22"/>
        <v>0.4460093896713615</v>
      </c>
      <c r="AC25" s="6">
        <f t="shared" si="23"/>
        <v>2714</v>
      </c>
      <c r="AD25" s="7">
        <f t="shared" si="24"/>
        <v>0.36109410083690552</v>
      </c>
      <c r="AE25" s="7">
        <f t="shared" si="25"/>
        <v>8.4915288834455982E-2</v>
      </c>
      <c r="AF25" s="6">
        <f t="shared" si="26"/>
        <v>2079</v>
      </c>
      <c r="AG25" s="6">
        <f t="shared" si="27"/>
        <v>818</v>
      </c>
      <c r="AH25" s="7">
        <f t="shared" si="28"/>
        <v>0.39345839345839345</v>
      </c>
      <c r="AI25" s="23"/>
      <c r="AJ25" s="30">
        <f t="shared" si="29"/>
        <v>0.15399061032863848</v>
      </c>
      <c r="AK25" s="28">
        <f t="shared" si="7"/>
        <v>754.40000000000009</v>
      </c>
      <c r="AM25" s="5" t="str">
        <f t="shared" si="8"/>
        <v>Epsom</v>
      </c>
      <c r="AN25" s="6">
        <f t="shared" si="9"/>
        <v>5931</v>
      </c>
      <c r="AO25" s="6">
        <f t="shared" si="10"/>
        <v>2643</v>
      </c>
      <c r="AP25" s="7">
        <f t="shared" si="11"/>
        <v>0.4456246838644411</v>
      </c>
      <c r="AQ25" s="6">
        <f t="shared" si="30"/>
        <v>3288</v>
      </c>
      <c r="AR25" s="7">
        <f t="shared" si="31"/>
        <v>0.4043163041645591</v>
      </c>
      <c r="AS25" s="7">
        <f t="shared" si="32"/>
        <v>4.1308379699881992E-2</v>
      </c>
      <c r="AT25" s="6">
        <f t="shared" si="33"/>
        <v>1219</v>
      </c>
      <c r="AU25" s="6">
        <f t="shared" si="34"/>
        <v>548</v>
      </c>
      <c r="AV25" s="7">
        <f t="shared" si="35"/>
        <v>0.44954881050041018</v>
      </c>
      <c r="AW25" s="23"/>
      <c r="AX25" s="30">
        <f t="shared" si="36"/>
        <v>0.15437531613555888</v>
      </c>
      <c r="AY25" s="28">
        <f t="shared" si="37"/>
        <v>915.59999999999991</v>
      </c>
    </row>
    <row r="26" spans="2:51" x14ac:dyDescent="0.35">
      <c r="B26" s="79">
        <f>_xlfn.MAXIFS(flu_aw25[week],flu_aw25[trust_code],$G26)</f>
        <v>46076</v>
      </c>
      <c r="C26" s="2">
        <f>VLOOKUP($B26,flu_aw25[[week]:[iso_week]],2,0)</f>
        <v>9</v>
      </c>
      <c r="D26" s="79">
        <f>_xlfn.MAXIFS(flu_aw24[week],flu_aw24[trust_code],$G26)</f>
        <v>45726</v>
      </c>
      <c r="E26" s="2">
        <f>VLOOKUP($D26,flu_aw24[[week]:[iso_week]],2,0)</f>
        <v>11</v>
      </c>
      <c r="G26" s="5" t="s">
        <v>83</v>
      </c>
      <c r="H26" s="5" t="s">
        <v>84</v>
      </c>
      <c r="I26" s="5" t="s">
        <v>85</v>
      </c>
      <c r="J26" s="5" t="str">
        <f>VLOOKUP($G26,trust_lookup[],4,0)</f>
        <v>Specialist</v>
      </c>
      <c r="K26" s="5" t="s">
        <v>27</v>
      </c>
      <c r="L26" s="6">
        <f>IF(SUMIFS(flu_aw25[flhcw],flu_aw25[trust_code],$G26,flu_aw25[iso_week],$C26)=0,"-",SUMIFS(flu_aw25[flhcw],flu_aw25[trust_code],$G26,flu_aw25[iso_week],$C26))</f>
        <v>3957</v>
      </c>
      <c r="M26" s="6">
        <f>IF(SUMIFS(flu_aw25[cumulative_aw25_vve],flu_aw25[trust_code],$G26,flu_aw25[iso_week],$C26)=0,"-",SUMIFS(flu_aw25[cumulative_aw25_vve],flu_aw25[trust_code],$G26,flu_aw25[iso_week],$C26))</f>
        <v>2252</v>
      </c>
      <c r="N26" s="7">
        <f t="shared" si="16"/>
        <v>0.56911801870103618</v>
      </c>
      <c r="O26" s="7">
        <f>SUMIFS(flu_eng[fl_5%_target],flu_eng[trust_code],$G26)</f>
        <v>0.50961783400000005</v>
      </c>
      <c r="P26" s="6">
        <f>IFERROR(SUMIFS(flu_aw24[cumulative_aw24_vve],flu_aw24[trust_code],$G26,flu_aw24[iso_week],$E26),"-")</f>
        <v>1776</v>
      </c>
      <c r="Q26" s="7">
        <f t="shared" si="17"/>
        <v>0.44882486732373011</v>
      </c>
      <c r="R26" s="6">
        <f>IFERROR(SUMIFS(flu_eng[nfl_staff],flu_eng[trust_code],$G26),"-")</f>
        <v>1789</v>
      </c>
      <c r="S26" s="6">
        <f>IFERROR(SUMIFS(flu_eng[nfl_doses],flu_eng[trust_code],$G26),"-")</f>
        <v>807</v>
      </c>
      <c r="T26" s="7">
        <f t="shared" si="18"/>
        <v>0.45108999441028508</v>
      </c>
      <c r="U26" s="2">
        <f t="shared" si="19"/>
        <v>1</v>
      </c>
      <c r="W26" s="2">
        <v>9</v>
      </c>
      <c r="Y26" s="5" t="str">
        <f t="shared" si="6"/>
        <v>Epsom</v>
      </c>
      <c r="Z26" s="6">
        <f t="shared" si="20"/>
        <v>5931</v>
      </c>
      <c r="AA26" s="6">
        <f t="shared" si="21"/>
        <v>2643</v>
      </c>
      <c r="AB26" s="7">
        <f t="shared" si="22"/>
        <v>0.4456246838644411</v>
      </c>
      <c r="AC26" s="6">
        <f t="shared" si="23"/>
        <v>3288</v>
      </c>
      <c r="AD26" s="7">
        <f t="shared" si="24"/>
        <v>0.4043163041645591</v>
      </c>
      <c r="AE26" s="7">
        <f t="shared" si="25"/>
        <v>4.1308379699881992E-2</v>
      </c>
      <c r="AF26" s="6">
        <f t="shared" si="26"/>
        <v>1219</v>
      </c>
      <c r="AG26" s="6">
        <f t="shared" si="27"/>
        <v>548</v>
      </c>
      <c r="AH26" s="7">
        <f t="shared" si="28"/>
        <v>0.44954881050041018</v>
      </c>
      <c r="AI26" s="23"/>
      <c r="AJ26" s="30">
        <f t="shared" si="29"/>
        <v>0.15437531613555888</v>
      </c>
      <c r="AK26" s="28">
        <f t="shared" si="7"/>
        <v>915.59999999999991</v>
      </c>
      <c r="AM26" s="5" t="str">
        <f t="shared" si="8"/>
        <v>GOSH</v>
      </c>
      <c r="AN26" s="6">
        <f t="shared" si="9"/>
        <v>3957</v>
      </c>
      <c r="AO26" s="6">
        <f t="shared" si="10"/>
        <v>2252</v>
      </c>
      <c r="AP26" s="7">
        <f t="shared" si="11"/>
        <v>0.56911801870103618</v>
      </c>
      <c r="AQ26" s="6">
        <f t="shared" si="30"/>
        <v>1705</v>
      </c>
      <c r="AR26" s="7">
        <f t="shared" si="31"/>
        <v>0.44882486732373011</v>
      </c>
      <c r="AS26" s="7">
        <f t="shared" si="32"/>
        <v>0.12029315137730606</v>
      </c>
      <c r="AT26" s="6">
        <f t="shared" si="33"/>
        <v>1789</v>
      </c>
      <c r="AU26" s="6">
        <f t="shared" si="34"/>
        <v>807</v>
      </c>
      <c r="AV26" s="7">
        <f t="shared" si="35"/>
        <v>0.45108999441028508</v>
      </c>
      <c r="AW26" s="23"/>
      <c r="AX26" s="30">
        <f t="shared" si="36"/>
        <v>3.0881981298963801E-2</v>
      </c>
      <c r="AY26" s="28">
        <f t="shared" si="37"/>
        <v>122.19999999999982</v>
      </c>
    </row>
    <row r="27" spans="2:51" x14ac:dyDescent="0.35">
      <c r="B27" s="79">
        <f>_xlfn.MAXIFS(flu_aw25[week],flu_aw25[trust_code],$G27)</f>
        <v>46076</v>
      </c>
      <c r="C27" s="2">
        <f>VLOOKUP($B27,flu_aw25[[week]:[iso_week]],2,0)</f>
        <v>9</v>
      </c>
      <c r="D27" s="79">
        <f>_xlfn.MAXIFS(flu_aw24[week],flu_aw24[trust_code],$G27)</f>
        <v>45740</v>
      </c>
      <c r="E27" s="2">
        <f>VLOOKUP($D27,flu_aw24[[week]:[iso_week]],2,0)</f>
        <v>13</v>
      </c>
      <c r="G27" s="5" t="s">
        <v>89</v>
      </c>
      <c r="H27" s="5" t="s">
        <v>90</v>
      </c>
      <c r="I27" s="5" t="s">
        <v>91</v>
      </c>
      <c r="J27" s="5" t="str">
        <f>VLOOKUP($G27,trust_lookup[],4,0)</f>
        <v>Acute</v>
      </c>
      <c r="K27" s="5" t="s">
        <v>193</v>
      </c>
      <c r="L27" s="6">
        <f>IF(SUMIFS(flu_aw25[flhcw],flu_aw25[trust_code],$G27,flu_aw25[iso_week],$C27)=0,"-",SUMIFS(flu_aw25[flhcw],flu_aw25[trust_code],$G27,flu_aw25[iso_week],$C27))</f>
        <v>17148</v>
      </c>
      <c r="M27" s="6">
        <f>IF(SUMIFS(flu_aw25[cumulative_aw25_vve],flu_aw25[trust_code],$G27,flu_aw25[iso_week],$C27)=0,"-",SUMIFS(flu_aw25[cumulative_aw25_vve],flu_aw25[trust_code],$G27,flu_aw25[iso_week],$C27))</f>
        <v>7506</v>
      </c>
      <c r="N27" s="7">
        <f t="shared" si="16"/>
        <v>0.43771868439468159</v>
      </c>
      <c r="O27" s="7">
        <f>SUMIFS(flu_eng[fl_5%_target],flu_eng[trust_code],$G27)</f>
        <v>0.401467136</v>
      </c>
      <c r="P27" s="6">
        <f>IFERROR(SUMIFS(flu_aw24[cumulative_aw24_vve],flu_aw24[trust_code],$G27,flu_aw24[iso_week],$E27),"-")</f>
        <v>5956</v>
      </c>
      <c r="Q27" s="7">
        <f t="shared" si="17"/>
        <v>0.34732913459295545</v>
      </c>
      <c r="R27" s="6">
        <f>IFERROR(SUMIFS(flu_eng[nfl_staff],flu_eng[trust_code],$G27),"-")</f>
        <v>6608</v>
      </c>
      <c r="S27" s="6">
        <f>IFERROR(SUMIFS(flu_eng[nfl_doses],flu_eng[trust_code],$G27),"-")</f>
        <v>2486</v>
      </c>
      <c r="T27" s="7">
        <f t="shared" si="18"/>
        <v>0.37621065375302665</v>
      </c>
      <c r="U27" s="2">
        <f t="shared" si="19"/>
        <v>11</v>
      </c>
      <c r="W27" s="2">
        <v>10</v>
      </c>
      <c r="Y27" s="5" t="str">
        <f t="shared" si="6"/>
        <v>UCLH</v>
      </c>
      <c r="Z27" s="6">
        <f t="shared" si="20"/>
        <v>8259</v>
      </c>
      <c r="AA27" s="6">
        <f t="shared" si="21"/>
        <v>3646</v>
      </c>
      <c r="AB27" s="7">
        <f t="shared" si="22"/>
        <v>0.44145780360818498</v>
      </c>
      <c r="AC27" s="6">
        <f t="shared" si="23"/>
        <v>4613</v>
      </c>
      <c r="AD27" s="7">
        <f t="shared" si="24"/>
        <v>0.38806150865722244</v>
      </c>
      <c r="AE27" s="7">
        <f t="shared" si="25"/>
        <v>5.3396294950962542E-2</v>
      </c>
      <c r="AF27" s="6">
        <f t="shared" si="26"/>
        <v>2981</v>
      </c>
      <c r="AG27" s="6">
        <f t="shared" si="27"/>
        <v>997</v>
      </c>
      <c r="AH27" s="7">
        <f t="shared" si="28"/>
        <v>0.33445152633344516</v>
      </c>
      <c r="AI27" s="23"/>
      <c r="AJ27" s="30">
        <f t="shared" si="29"/>
        <v>0.15854219639181499</v>
      </c>
      <c r="AK27" s="28">
        <f t="shared" si="7"/>
        <v>1309.3999999999996</v>
      </c>
      <c r="AM27" s="5" t="str">
        <f t="shared" si="8"/>
        <v>GSTT</v>
      </c>
      <c r="AN27" s="6">
        <f t="shared" si="9"/>
        <v>17148</v>
      </c>
      <c r="AO27" s="6">
        <f t="shared" si="10"/>
        <v>7506</v>
      </c>
      <c r="AP27" s="7">
        <f t="shared" si="11"/>
        <v>0.43771868439468159</v>
      </c>
      <c r="AQ27" s="6">
        <f t="shared" si="30"/>
        <v>9642</v>
      </c>
      <c r="AR27" s="7">
        <f t="shared" si="31"/>
        <v>0.34732913459295545</v>
      </c>
      <c r="AS27" s="7">
        <f t="shared" si="32"/>
        <v>9.0389549801726143E-2</v>
      </c>
      <c r="AT27" s="6">
        <f t="shared" si="33"/>
        <v>6608</v>
      </c>
      <c r="AU27" s="6">
        <f t="shared" si="34"/>
        <v>2486</v>
      </c>
      <c r="AV27" s="7">
        <f t="shared" si="35"/>
        <v>0.37621065375302665</v>
      </c>
      <c r="AW27" s="23"/>
      <c r="AX27" s="30">
        <f t="shared" si="36"/>
        <v>0.16228131560531839</v>
      </c>
      <c r="AY27" s="28">
        <f t="shared" si="37"/>
        <v>2782.7999999999993</v>
      </c>
    </row>
    <row r="28" spans="2:51" x14ac:dyDescent="0.35">
      <c r="B28" s="79">
        <f>_xlfn.MAXIFS(flu_aw25[week],flu_aw25[trust_code],$G28)</f>
        <v>46062</v>
      </c>
      <c r="C28" s="2">
        <f>VLOOKUP($B28,flu_aw25[[week]:[iso_week]],2,0)</f>
        <v>7</v>
      </c>
      <c r="D28" s="79">
        <f>_xlfn.MAXIFS(flu_aw24[week],flu_aw24[trust_code],$G28)</f>
        <v>45733</v>
      </c>
      <c r="E28" s="2">
        <f>VLOOKUP($D28,flu_aw24[[week]:[iso_week]],2,0)</f>
        <v>12</v>
      </c>
      <c r="G28" s="5" t="s">
        <v>95</v>
      </c>
      <c r="H28" s="5" t="s">
        <v>96</v>
      </c>
      <c r="I28" s="5" t="s">
        <v>97</v>
      </c>
      <c r="J28" s="5" t="str">
        <f>VLOOKUP($G28,trust_lookup[],4,0)</f>
        <v>Acute</v>
      </c>
      <c r="K28" s="5" t="s">
        <v>190</v>
      </c>
      <c r="L28" s="6">
        <f>IF(SUMIFS(flu_aw25[flhcw],flu_aw25[trust_code],$G28,flu_aw25[iso_week],$C28)=0,"-",SUMIFS(flu_aw25[flhcw],flu_aw25[trust_code],$G28,flu_aw25[iso_week],$C28))</f>
        <v>3664</v>
      </c>
      <c r="M28" s="6">
        <f>IF(SUMIFS(flu_aw25[cumulative_aw25_vve],flu_aw25[trust_code],$G28,flu_aw25[iso_week],$C28)=0,"-",SUMIFS(flu_aw25[cumulative_aw25_vve],flu_aw25[trust_code],$G28,flu_aw25[iso_week],$C28))</f>
        <v>1696</v>
      </c>
      <c r="N28" s="7">
        <f t="shared" si="16"/>
        <v>0.46288209606986902</v>
      </c>
      <c r="O28" s="7">
        <f>SUMIFS(flu_eng[fl_5%_target],flu_eng[trust_code],$G28)</f>
        <v>0.38944695299999998</v>
      </c>
      <c r="P28" s="6">
        <f>IFERROR(SUMIFS(flu_aw24[cumulative_aw24_vve],flu_aw24[trust_code],$G28,flu_aw24[iso_week],$E28),"-")</f>
        <v>1200</v>
      </c>
      <c r="Q28" s="7">
        <f t="shared" si="17"/>
        <v>0.32751091703056767</v>
      </c>
      <c r="R28" s="6">
        <f>IFERROR(SUMIFS(flu_eng[nfl_staff],flu_eng[trust_code],$G28),"-")</f>
        <v>1309</v>
      </c>
      <c r="S28" s="6">
        <f>IFERROR(SUMIFS(flu_eng[nfl_doses],flu_eng[trust_code],$G28),"-")</f>
        <v>408</v>
      </c>
      <c r="T28" s="7">
        <f t="shared" si="18"/>
        <v>0.31168831168831168</v>
      </c>
      <c r="U28" s="2">
        <f t="shared" si="19"/>
        <v>7</v>
      </c>
      <c r="W28" s="2">
        <v>11</v>
      </c>
      <c r="Y28" s="5" t="str">
        <f t="shared" si="6"/>
        <v>GSTT</v>
      </c>
      <c r="Z28" s="6">
        <f t="shared" si="20"/>
        <v>17148</v>
      </c>
      <c r="AA28" s="6">
        <f t="shared" si="21"/>
        <v>7506</v>
      </c>
      <c r="AB28" s="7">
        <f t="shared" si="22"/>
        <v>0.43771868439468159</v>
      </c>
      <c r="AC28" s="6">
        <f t="shared" si="23"/>
        <v>9642</v>
      </c>
      <c r="AD28" s="7">
        <f t="shared" si="24"/>
        <v>0.34732913459295545</v>
      </c>
      <c r="AE28" s="7">
        <f t="shared" si="25"/>
        <v>9.0389549801726143E-2</v>
      </c>
      <c r="AF28" s="6">
        <f t="shared" si="26"/>
        <v>6608</v>
      </c>
      <c r="AG28" s="6">
        <f t="shared" si="27"/>
        <v>2486</v>
      </c>
      <c r="AH28" s="7">
        <f t="shared" si="28"/>
        <v>0.37621065375302665</v>
      </c>
      <c r="AI28" s="23"/>
      <c r="AJ28" s="30">
        <f t="shared" si="29"/>
        <v>0.16228131560531839</v>
      </c>
      <c r="AK28" s="28">
        <f t="shared" si="7"/>
        <v>2782.7999999999993</v>
      </c>
      <c r="AM28" s="5" t="str">
        <f t="shared" si="8"/>
        <v>Homerton</v>
      </c>
      <c r="AN28" s="6">
        <f t="shared" si="9"/>
        <v>3664</v>
      </c>
      <c r="AO28" s="6">
        <f t="shared" si="10"/>
        <v>1696</v>
      </c>
      <c r="AP28" s="7">
        <f t="shared" si="11"/>
        <v>0.46288209606986902</v>
      </c>
      <c r="AQ28" s="6">
        <f t="shared" si="30"/>
        <v>1968</v>
      </c>
      <c r="AR28" s="7">
        <f t="shared" si="31"/>
        <v>0.32751091703056767</v>
      </c>
      <c r="AS28" s="7">
        <f t="shared" si="32"/>
        <v>0.13537117903930135</v>
      </c>
      <c r="AT28" s="6">
        <f t="shared" si="33"/>
        <v>1309</v>
      </c>
      <c r="AU28" s="6">
        <f t="shared" si="34"/>
        <v>408</v>
      </c>
      <c r="AV28" s="7">
        <f t="shared" si="35"/>
        <v>0.31168831168831168</v>
      </c>
      <c r="AW28" s="23"/>
      <c r="AX28" s="30">
        <f t="shared" si="36"/>
        <v>0.13711790393013096</v>
      </c>
      <c r="AY28" s="28">
        <f t="shared" si="37"/>
        <v>502.40000000000009</v>
      </c>
    </row>
    <row r="29" spans="2:51" x14ac:dyDescent="0.35">
      <c r="B29" s="79">
        <f>_xlfn.MAXIFS(flu_aw25[week],flu_aw25[trust_code],$G29)</f>
        <v>46076</v>
      </c>
      <c r="C29" s="2">
        <f>VLOOKUP($B29,flu_aw25[[week]:[iso_week]],2,0)</f>
        <v>9</v>
      </c>
      <c r="D29" s="79">
        <f>_xlfn.MAXIFS(flu_aw24[week],flu_aw24[trust_code],$G29)</f>
        <v>45740</v>
      </c>
      <c r="E29" s="2">
        <f>VLOOKUP($D29,flu_aw24[[week]:[iso_week]],2,0)</f>
        <v>13</v>
      </c>
      <c r="G29" s="5" t="s">
        <v>101</v>
      </c>
      <c r="H29" s="5" t="s">
        <v>102</v>
      </c>
      <c r="I29" s="5" t="s">
        <v>103</v>
      </c>
      <c r="J29" s="5" t="str">
        <f>VLOOKUP($G29,trust_lookup[],4,0)</f>
        <v>Acute</v>
      </c>
      <c r="K29" s="5" t="s">
        <v>192</v>
      </c>
      <c r="L29" s="6">
        <f>IF(SUMIFS(flu_aw25[flhcw],flu_aw25[trust_code],$G29,flu_aw25[iso_week],$C29)=0,"-",SUMIFS(flu_aw25[flhcw],flu_aw25[trust_code],$G29,flu_aw25[iso_week],$C29))</f>
        <v>11552</v>
      </c>
      <c r="M29" s="6">
        <f>IF(SUMIFS(flu_aw25[cumulative_aw25_vve],flu_aw25[trust_code],$G29,flu_aw25[iso_week],$C29)=0,"-",SUMIFS(flu_aw25[cumulative_aw25_vve],flu_aw25[trust_code],$G29,flu_aw25[iso_week],$C29))</f>
        <v>4333</v>
      </c>
      <c r="N29" s="7">
        <f t="shared" si="16"/>
        <v>0.37508656509695293</v>
      </c>
      <c r="O29" s="7">
        <f>SUMIFS(flu_eng[fl_5%_target],flu_eng[trust_code],$G29)</f>
        <v>0.36846209599999902</v>
      </c>
      <c r="P29" s="6">
        <f>IFERROR(SUMIFS(flu_aw24[cumulative_aw24_vve],flu_aw24[trust_code],$G29,flu_aw24[iso_week],$E29),"-")</f>
        <v>3595</v>
      </c>
      <c r="Q29" s="7">
        <f t="shared" si="17"/>
        <v>0.31120152354570635</v>
      </c>
      <c r="R29" s="6">
        <f>IFERROR(SUMIFS(flu_eng[nfl_staff],flu_eng[trust_code],$G29),"-")</f>
        <v>4047</v>
      </c>
      <c r="S29" s="6">
        <f>IFERROR(SUMIFS(flu_eng[nfl_doses],flu_eng[trust_code],$G29),"-")</f>
        <v>1225</v>
      </c>
      <c r="T29" s="7">
        <f t="shared" si="18"/>
        <v>0.30269335310106249</v>
      </c>
      <c r="U29" s="2">
        <f t="shared" si="19"/>
        <v>22</v>
      </c>
      <c r="W29" s="2">
        <v>12</v>
      </c>
      <c r="Y29" s="5" t="str">
        <f t="shared" si="6"/>
        <v>RNOH</v>
      </c>
      <c r="Z29" s="6">
        <f t="shared" si="20"/>
        <v>1002</v>
      </c>
      <c r="AA29" s="6">
        <f t="shared" si="21"/>
        <v>427</v>
      </c>
      <c r="AB29" s="7">
        <f t="shared" si="22"/>
        <v>0.42614770459081835</v>
      </c>
      <c r="AC29" s="6">
        <f t="shared" si="23"/>
        <v>575</v>
      </c>
      <c r="AD29" s="7">
        <f t="shared" si="24"/>
        <v>0.34231536926147704</v>
      </c>
      <c r="AE29" s="7">
        <f t="shared" si="25"/>
        <v>8.3832335329341312E-2</v>
      </c>
      <c r="AF29" s="6">
        <f t="shared" si="26"/>
        <v>702</v>
      </c>
      <c r="AG29" s="6">
        <f t="shared" si="27"/>
        <v>289</v>
      </c>
      <c r="AH29" s="7">
        <f t="shared" si="28"/>
        <v>0.4116809116809117</v>
      </c>
      <c r="AI29" s="23"/>
      <c r="AJ29" s="30">
        <f t="shared" si="29"/>
        <v>0.17385229540918162</v>
      </c>
      <c r="AK29" s="28">
        <f t="shared" si="7"/>
        <v>174.19999999999993</v>
      </c>
      <c r="AM29" s="5" t="str">
        <f t="shared" si="8"/>
        <v>Imperial</v>
      </c>
      <c r="AN29" s="6">
        <f t="shared" si="9"/>
        <v>11552</v>
      </c>
      <c r="AO29" s="6">
        <f t="shared" si="10"/>
        <v>4333</v>
      </c>
      <c r="AP29" s="7">
        <f t="shared" si="11"/>
        <v>0.37508656509695293</v>
      </c>
      <c r="AQ29" s="6">
        <f t="shared" si="30"/>
        <v>7219</v>
      </c>
      <c r="AR29" s="7">
        <f t="shared" si="31"/>
        <v>0.31120152354570635</v>
      </c>
      <c r="AS29" s="7">
        <f t="shared" si="32"/>
        <v>6.388504155124658E-2</v>
      </c>
      <c r="AT29" s="6">
        <f t="shared" si="33"/>
        <v>4047</v>
      </c>
      <c r="AU29" s="6">
        <f t="shared" si="34"/>
        <v>1225</v>
      </c>
      <c r="AV29" s="7">
        <f t="shared" si="35"/>
        <v>0.30269335310106249</v>
      </c>
      <c r="AW29" s="23"/>
      <c r="AX29" s="30">
        <f t="shared" si="36"/>
        <v>0.22491343490304705</v>
      </c>
      <c r="AY29" s="28">
        <f t="shared" si="37"/>
        <v>2598.1999999999998</v>
      </c>
    </row>
    <row r="30" spans="2:51" x14ac:dyDescent="0.35">
      <c r="B30" s="79">
        <f>_xlfn.MAXIFS(flu_aw25[week],flu_aw25[trust_code],$G30)</f>
        <v>46076</v>
      </c>
      <c r="C30" s="2">
        <f>VLOOKUP($B30,flu_aw25[[week]:[iso_week]],2,0)</f>
        <v>9</v>
      </c>
      <c r="D30" s="79">
        <f>_xlfn.MAXIFS(flu_aw24[week],flu_aw24[trust_code],$G30)</f>
        <v>45740</v>
      </c>
      <c r="E30" s="2">
        <f>VLOOKUP($D30,flu_aw24[[week]:[iso_week]],2,0)</f>
        <v>13</v>
      </c>
      <c r="G30" s="5" t="s">
        <v>107</v>
      </c>
      <c r="H30" s="5" t="s">
        <v>108</v>
      </c>
      <c r="I30" s="5" t="s">
        <v>109</v>
      </c>
      <c r="J30" s="5" t="str">
        <f>VLOOKUP($G30,trust_lookup[],4,0)</f>
        <v>Acute</v>
      </c>
      <c r="K30" s="5" t="s">
        <v>193</v>
      </c>
      <c r="L30" s="6">
        <f>IF(SUMIFS(flu_aw25[flhcw],flu_aw25[trust_code],$G30,flu_aw25[iso_week],$C30)=0,"-",SUMIFS(flu_aw25[flhcw],flu_aw25[trust_code],$G30,flu_aw25[iso_week],$C30))</f>
        <v>9605</v>
      </c>
      <c r="M30" s="6">
        <f>IF(SUMIFS(flu_aw25[cumulative_aw25_vve],flu_aw25[trust_code],$G30,flu_aw25[iso_week],$C30)=0,"-",SUMIFS(flu_aw25[cumulative_aw25_vve],flu_aw25[trust_code],$G30,flu_aw25[iso_week],$C30))</f>
        <v>4447</v>
      </c>
      <c r="N30" s="7">
        <f t="shared" si="16"/>
        <v>0.46298802706923475</v>
      </c>
      <c r="O30" s="7">
        <f>SUMIFS(flu_eng[fl_5%_target],flu_eng[trust_code],$G30)</f>
        <v>0.45879828299999997</v>
      </c>
      <c r="P30" s="6">
        <f>IFERROR(SUMIFS(flu_aw24[cumulative_aw24_vve],flu_aw24[trust_code],$G30,flu_aw24[iso_week],$E30),"-")</f>
        <v>3770</v>
      </c>
      <c r="Q30" s="7">
        <f t="shared" si="17"/>
        <v>0.3925039042165539</v>
      </c>
      <c r="R30" s="6">
        <f>IFERROR(SUMIFS(flu_eng[nfl_staff],flu_eng[trust_code],$G30),"-")</f>
        <v>4895</v>
      </c>
      <c r="S30" s="6">
        <f>IFERROR(SUMIFS(flu_eng[nfl_doses],flu_eng[trust_code],$G30),"-")</f>
        <v>1530</v>
      </c>
      <c r="T30" s="7">
        <f t="shared" si="18"/>
        <v>0.31256384065372828</v>
      </c>
      <c r="U30" s="2">
        <f t="shared" si="19"/>
        <v>6</v>
      </c>
      <c r="W30" s="2">
        <v>13</v>
      </c>
      <c r="Y30" s="5" t="str">
        <f t="shared" si="6"/>
        <v>LNW</v>
      </c>
      <c r="Z30" s="6">
        <f t="shared" si="20"/>
        <v>4229</v>
      </c>
      <c r="AA30" s="6">
        <f t="shared" si="21"/>
        <v>1792</v>
      </c>
      <c r="AB30" s="7">
        <f t="shared" si="22"/>
        <v>0.42374083707732324</v>
      </c>
      <c r="AC30" s="6">
        <f t="shared" si="23"/>
        <v>2437</v>
      </c>
      <c r="AD30" s="7">
        <f t="shared" si="24"/>
        <v>0.37502955781508629</v>
      </c>
      <c r="AE30" s="7">
        <f t="shared" si="25"/>
        <v>4.8711279262236951E-2</v>
      </c>
      <c r="AF30" s="6">
        <f t="shared" si="26"/>
        <v>4507</v>
      </c>
      <c r="AG30" s="6">
        <f t="shared" si="27"/>
        <v>1798</v>
      </c>
      <c r="AH30" s="7">
        <f t="shared" si="28"/>
        <v>0.3989349900155314</v>
      </c>
      <c r="AI30" s="23"/>
      <c r="AJ30" s="30">
        <f t="shared" si="29"/>
        <v>0.17625916292267674</v>
      </c>
      <c r="AK30" s="28">
        <f t="shared" si="7"/>
        <v>745.40000000000009</v>
      </c>
      <c r="AM30" s="5" t="str">
        <f t="shared" si="8"/>
        <v>King's</v>
      </c>
      <c r="AN30" s="6">
        <f t="shared" si="9"/>
        <v>9605</v>
      </c>
      <c r="AO30" s="6">
        <f t="shared" si="10"/>
        <v>4447</v>
      </c>
      <c r="AP30" s="7">
        <f t="shared" si="11"/>
        <v>0.46298802706923475</v>
      </c>
      <c r="AQ30" s="6">
        <f t="shared" si="30"/>
        <v>5158</v>
      </c>
      <c r="AR30" s="7">
        <f t="shared" si="31"/>
        <v>0.3925039042165539</v>
      </c>
      <c r="AS30" s="7">
        <f t="shared" si="32"/>
        <v>7.0484122852680853E-2</v>
      </c>
      <c r="AT30" s="6">
        <f t="shared" si="33"/>
        <v>4895</v>
      </c>
      <c r="AU30" s="6">
        <f t="shared" si="34"/>
        <v>1530</v>
      </c>
      <c r="AV30" s="7">
        <f t="shared" si="35"/>
        <v>0.31256384065372828</v>
      </c>
      <c r="AW30" s="23"/>
      <c r="AX30" s="30">
        <f t="shared" si="36"/>
        <v>0.13701197293076522</v>
      </c>
      <c r="AY30" s="28">
        <f t="shared" si="37"/>
        <v>1316</v>
      </c>
    </row>
    <row r="31" spans="2:51" x14ac:dyDescent="0.35">
      <c r="B31" s="79">
        <f>_xlfn.MAXIFS(flu_aw25[week],flu_aw25[trust_code],$G31)</f>
        <v>46076</v>
      </c>
      <c r="C31" s="2">
        <f>VLOOKUP($B31,flu_aw25[[week]:[iso_week]],2,0)</f>
        <v>9</v>
      </c>
      <c r="D31" s="79">
        <f>_xlfn.MAXIFS(flu_aw24[week],flu_aw24[trust_code],$G31)</f>
        <v>45747</v>
      </c>
      <c r="E31" s="2">
        <f>VLOOKUP($D31,flu_aw24[[week]:[iso_week]],2,0)</f>
        <v>14</v>
      </c>
      <c r="G31" s="5" t="s">
        <v>113</v>
      </c>
      <c r="H31" s="5" t="s">
        <v>114</v>
      </c>
      <c r="I31" s="5" t="s">
        <v>115</v>
      </c>
      <c r="J31" s="5" t="str">
        <f>VLOOKUP($G31,trust_lookup[],4,0)</f>
        <v>Acute &amp; Community</v>
      </c>
      <c r="K31" s="5" t="s">
        <v>194</v>
      </c>
      <c r="L31" s="6">
        <f>IF(SUMIFS(flu_aw25[flhcw],flu_aw25[trust_code],$G31,flu_aw25[iso_week],$C31)=0,"-",SUMIFS(flu_aw25[flhcw],flu_aw25[trust_code],$G31,flu_aw25[iso_week],$C31))</f>
        <v>3808</v>
      </c>
      <c r="M31" s="6">
        <f>IF(SUMIFS(flu_aw25[cumulative_aw25_vve],flu_aw25[trust_code],$G31,flu_aw25[iso_week],$C31)=0,"-",SUMIFS(flu_aw25[cumulative_aw25_vve],flu_aw25[trust_code],$G31,flu_aw25[iso_week],$C31))</f>
        <v>1766</v>
      </c>
      <c r="N31" s="7">
        <f t="shared" si="16"/>
        <v>0.46376050420168069</v>
      </c>
      <c r="O31" s="7">
        <f>SUMIFS(flu_eng[fl_5%_target],flu_eng[trust_code],$G31)</f>
        <v>0.486503719</v>
      </c>
      <c r="P31" s="6">
        <f>IFERROR(SUMIFS(flu_aw24[cumulative_aw24_vve],flu_aw24[trust_code],$G31,flu_aw24[iso_week],$E31),"-")</f>
        <v>1645</v>
      </c>
      <c r="Q31" s="7">
        <f t="shared" si="17"/>
        <v>0.43198529411764708</v>
      </c>
      <c r="R31" s="6">
        <f>IFERROR(SUMIFS(flu_eng[nfl_staff],flu_eng[trust_code],$G31),"-")</f>
        <v>1128</v>
      </c>
      <c r="S31" s="6">
        <f>IFERROR(SUMIFS(flu_eng[nfl_doses],flu_eng[trust_code],$G31),"-")</f>
        <v>470</v>
      </c>
      <c r="T31" s="7">
        <f t="shared" si="18"/>
        <v>0.41666666666666669</v>
      </c>
      <c r="U31" s="2">
        <f t="shared" si="19"/>
        <v>5</v>
      </c>
      <c r="W31" s="2">
        <v>14</v>
      </c>
      <c r="Y31" s="5" t="str">
        <f t="shared" si="6"/>
        <v>T&amp;P</v>
      </c>
      <c r="Z31" s="6">
        <f t="shared" si="20"/>
        <v>404</v>
      </c>
      <c r="AA31" s="6">
        <f t="shared" si="21"/>
        <v>168</v>
      </c>
      <c r="AB31" s="7">
        <f t="shared" si="22"/>
        <v>0.41584158415841582</v>
      </c>
      <c r="AC31" s="6">
        <f t="shared" si="23"/>
        <v>236</v>
      </c>
      <c r="AD31" s="7">
        <f t="shared" si="24"/>
        <v>0.27722772277227725</v>
      </c>
      <c r="AE31" s="7">
        <f t="shared" si="25"/>
        <v>0.13861386138613857</v>
      </c>
      <c r="AF31" s="6">
        <f t="shared" si="26"/>
        <v>392</v>
      </c>
      <c r="AG31" s="6">
        <f t="shared" si="27"/>
        <v>146</v>
      </c>
      <c r="AH31" s="7">
        <f t="shared" si="28"/>
        <v>0.37244897959183676</v>
      </c>
      <c r="AI31" s="23"/>
      <c r="AJ31" s="30">
        <f t="shared" si="29"/>
        <v>0.18415841584158416</v>
      </c>
      <c r="AK31" s="28">
        <f t="shared" si="7"/>
        <v>74.399999999999977</v>
      </c>
      <c r="AM31" s="5" t="str">
        <f t="shared" si="8"/>
        <v>K&amp;R FT</v>
      </c>
      <c r="AN31" s="6">
        <f t="shared" si="9"/>
        <v>3808</v>
      </c>
      <c r="AO31" s="6">
        <f t="shared" si="10"/>
        <v>1766</v>
      </c>
      <c r="AP31" s="7">
        <f t="shared" si="11"/>
        <v>0.46376050420168069</v>
      </c>
      <c r="AQ31" s="6">
        <f t="shared" si="30"/>
        <v>2042</v>
      </c>
      <c r="AR31" s="7">
        <f t="shared" si="31"/>
        <v>0.43198529411764708</v>
      </c>
      <c r="AS31" s="7">
        <f t="shared" si="32"/>
        <v>3.1775210084033612E-2</v>
      </c>
      <c r="AT31" s="6">
        <f t="shared" si="33"/>
        <v>1128</v>
      </c>
      <c r="AU31" s="6">
        <f t="shared" si="34"/>
        <v>470</v>
      </c>
      <c r="AV31" s="7">
        <f t="shared" si="35"/>
        <v>0.41666666666666669</v>
      </c>
      <c r="AW31" s="23"/>
      <c r="AX31" s="30">
        <f t="shared" si="36"/>
        <v>0.13623949579831929</v>
      </c>
      <c r="AY31" s="28">
        <f t="shared" si="37"/>
        <v>518.79999999999973</v>
      </c>
    </row>
    <row r="32" spans="2:51" x14ac:dyDescent="0.35">
      <c r="B32" s="79">
        <f>_xlfn.MAXIFS(flu_aw25[week],flu_aw25[trust_code],$G32)</f>
        <v>46076</v>
      </c>
      <c r="C32" s="2">
        <f>VLOOKUP($B32,flu_aw25[[week]:[iso_week]],2,0)</f>
        <v>9</v>
      </c>
      <c r="D32" s="79">
        <f>_xlfn.MAXIFS(flu_aw24[week],flu_aw24[trust_code],$G32)</f>
        <v>45740</v>
      </c>
      <c r="E32" s="2">
        <f>VLOOKUP($D32,flu_aw24[[week]:[iso_week]],2,0)</f>
        <v>13</v>
      </c>
      <c r="G32" s="5" t="s">
        <v>118</v>
      </c>
      <c r="H32" s="5" t="s">
        <v>119</v>
      </c>
      <c r="I32" s="5" t="s">
        <v>120</v>
      </c>
      <c r="J32" s="5" t="str">
        <f>VLOOKUP($G32,trust_lookup[],4,0)</f>
        <v>Acute</v>
      </c>
      <c r="K32" s="5" t="s">
        <v>193</v>
      </c>
      <c r="L32" s="6">
        <f>IF(SUMIFS(flu_aw25[flhcw],flu_aw25[trust_code],$G32,flu_aw25[iso_week],$C32)=0,"-",SUMIFS(flu_aw25[flhcw],flu_aw25[trust_code],$G32,flu_aw25[iso_week],$C32))</f>
        <v>6569</v>
      </c>
      <c r="M32" s="6">
        <f>IF(SUMIFS(flu_aw25[cumulative_aw25_vve],flu_aw25[trust_code],$G32,flu_aw25[iso_week],$C32)=0,"-",SUMIFS(flu_aw25[cumulative_aw25_vve],flu_aw25[trust_code],$G32,flu_aw25[iso_week],$C32))</f>
        <v>2310</v>
      </c>
      <c r="N32" s="7">
        <f t="shared" si="16"/>
        <v>0.35165169736641805</v>
      </c>
      <c r="O32" s="7">
        <f>SUMIFS(flu_eng[fl_5%_target],flu_eng[trust_code],$G32)</f>
        <v>0.35655045600000002</v>
      </c>
      <c r="P32" s="6">
        <f>IFERROR(SUMIFS(flu_aw24[cumulative_aw24_vve],flu_aw24[trust_code],$G32,flu_aw24[iso_week],$E32),"-")</f>
        <v>1930</v>
      </c>
      <c r="Q32" s="7">
        <f t="shared" si="17"/>
        <v>0.29380423199878214</v>
      </c>
      <c r="R32" s="6">
        <f>IFERROR(SUMIFS(flu_eng[nfl_staff],flu_eng[trust_code],$G32),"-")</f>
        <v>1472</v>
      </c>
      <c r="S32" s="6">
        <f>IFERROR(SUMIFS(flu_eng[nfl_doses],flu_eng[trust_code],$G32),"-")</f>
        <v>453</v>
      </c>
      <c r="T32" s="7">
        <f t="shared" si="18"/>
        <v>0.3077445652173913</v>
      </c>
      <c r="U32" s="2">
        <f t="shared" si="19"/>
        <v>24</v>
      </c>
      <c r="W32" s="2">
        <v>15</v>
      </c>
      <c r="Y32" s="5" t="str">
        <f t="shared" si="6"/>
        <v>St George's</v>
      </c>
      <c r="Z32" s="6">
        <f t="shared" si="20"/>
        <v>6877</v>
      </c>
      <c r="AA32" s="6">
        <f t="shared" si="21"/>
        <v>2846</v>
      </c>
      <c r="AB32" s="7">
        <f t="shared" si="22"/>
        <v>0.41384324560127961</v>
      </c>
      <c r="AC32" s="6">
        <f t="shared" si="23"/>
        <v>4031</v>
      </c>
      <c r="AD32" s="7">
        <f t="shared" si="24"/>
        <v>0.40555474770975714</v>
      </c>
      <c r="AE32" s="7">
        <f t="shared" si="25"/>
        <v>8.2884978915224727E-3</v>
      </c>
      <c r="AF32" s="6">
        <f t="shared" si="26"/>
        <v>2989</v>
      </c>
      <c r="AG32" s="6">
        <f t="shared" si="27"/>
        <v>1111</v>
      </c>
      <c r="AH32" s="7">
        <f t="shared" si="28"/>
        <v>0.37169621947139514</v>
      </c>
      <c r="AI32" s="23"/>
      <c r="AJ32" s="30">
        <f t="shared" si="29"/>
        <v>0.18615675439872037</v>
      </c>
      <c r="AK32" s="28">
        <f t="shared" si="7"/>
        <v>1280.1999999999998</v>
      </c>
      <c r="AM32" s="5" t="str">
        <f t="shared" si="8"/>
        <v>L&amp;G</v>
      </c>
      <c r="AN32" s="6">
        <f t="shared" si="9"/>
        <v>6569</v>
      </c>
      <c r="AO32" s="6">
        <f t="shared" si="10"/>
        <v>2310</v>
      </c>
      <c r="AP32" s="7">
        <f t="shared" si="11"/>
        <v>0.35165169736641805</v>
      </c>
      <c r="AQ32" s="6">
        <f t="shared" si="30"/>
        <v>4259</v>
      </c>
      <c r="AR32" s="7">
        <f t="shared" si="31"/>
        <v>0.29380423199878214</v>
      </c>
      <c r="AS32" s="7">
        <f t="shared" si="32"/>
        <v>5.7847465367635909E-2</v>
      </c>
      <c r="AT32" s="6">
        <f t="shared" si="33"/>
        <v>1472</v>
      </c>
      <c r="AU32" s="6">
        <f t="shared" si="34"/>
        <v>453</v>
      </c>
      <c r="AV32" s="7">
        <f t="shared" si="35"/>
        <v>0.3077445652173913</v>
      </c>
      <c r="AW32" s="23"/>
      <c r="AX32" s="30">
        <f t="shared" si="36"/>
        <v>0.24834830263358193</v>
      </c>
      <c r="AY32" s="28">
        <f t="shared" si="37"/>
        <v>1631.3999999999996</v>
      </c>
    </row>
    <row r="33" spans="2:51" x14ac:dyDescent="0.35">
      <c r="B33" s="79">
        <f>_xlfn.MAXIFS(flu_aw25[week],flu_aw25[trust_code],$G33)</f>
        <v>46076</v>
      </c>
      <c r="C33" s="2">
        <f>VLOOKUP($B33,flu_aw25[[week]:[iso_week]],2,0)</f>
        <v>9</v>
      </c>
      <c r="D33" s="79">
        <f>_xlfn.MAXIFS(flu_aw24[week],flu_aw24[trust_code],$G33)</f>
        <v>45726</v>
      </c>
      <c r="E33" s="2">
        <f>VLOOKUP($D33,flu_aw24[[week]:[iso_week]],2,0)</f>
        <v>11</v>
      </c>
      <c r="G33" s="5" t="s">
        <v>124</v>
      </c>
      <c r="H33" s="5" t="s">
        <v>125</v>
      </c>
      <c r="I33" s="5" t="s">
        <v>126</v>
      </c>
      <c r="J33" s="5" t="str">
        <f>VLOOKUP($G33,trust_lookup[],4,0)</f>
        <v>Ambulance</v>
      </c>
      <c r="K33" s="5" t="s">
        <v>192</v>
      </c>
      <c r="L33" s="6">
        <f>IF(SUMIFS(flu_aw25[flhcw],flu_aw25[trust_code],$G33,flu_aw25[iso_week],$C33)=0,"-",SUMIFS(flu_aw25[flhcw],flu_aw25[trust_code],$G33,flu_aw25[iso_week],$C33))</f>
        <v>3747</v>
      </c>
      <c r="M33" s="6">
        <f>IF(SUMIFS(flu_aw25[cumulative_aw25_vve],flu_aw25[trust_code],$G33,flu_aw25[iso_week],$C33)=0,"-",SUMIFS(flu_aw25[cumulative_aw25_vve],flu_aw25[trust_code],$G33,flu_aw25[iso_week],$C33))</f>
        <v>1872</v>
      </c>
      <c r="N33" s="7">
        <f t="shared" si="16"/>
        <v>0.49959967974379504</v>
      </c>
      <c r="O33" s="7">
        <f>SUMIFS(flu_eng[fl_5%_target],flu_eng[trust_code],$G33)</f>
        <v>0.46653786699999999</v>
      </c>
      <c r="P33" s="6">
        <f>IFERROR(SUMIFS(flu_aw24[cumulative_aw24_vve],flu_aw24[trust_code],$G33,flu_aw24[iso_week],$E33),"-")</f>
        <v>1532</v>
      </c>
      <c r="Q33" s="7">
        <f t="shared" si="17"/>
        <v>0.40886042167066988</v>
      </c>
      <c r="R33" s="6">
        <f>IFERROR(SUMIFS(flu_eng[nfl_staff],flu_eng[trust_code],$G33),"-")</f>
        <v>3603</v>
      </c>
      <c r="S33" s="6">
        <f>IFERROR(SUMIFS(flu_eng[nfl_doses],flu_eng[trust_code],$G33),"-")</f>
        <v>1238</v>
      </c>
      <c r="T33" s="7">
        <f t="shared" si="18"/>
        <v>0.34360255342769913</v>
      </c>
      <c r="U33" s="2">
        <f t="shared" si="19"/>
        <v>3</v>
      </c>
      <c r="W33" s="2">
        <v>16</v>
      </c>
      <c r="Y33" s="5" t="str">
        <f t="shared" si="6"/>
        <v>Croydon</v>
      </c>
      <c r="Z33" s="6">
        <f t="shared" si="20"/>
        <v>3343</v>
      </c>
      <c r="AA33" s="6">
        <f t="shared" si="21"/>
        <v>1351</v>
      </c>
      <c r="AB33" s="7">
        <f t="shared" si="22"/>
        <v>0.40412802871672149</v>
      </c>
      <c r="AC33" s="6">
        <f t="shared" si="23"/>
        <v>1992</v>
      </c>
      <c r="AD33" s="7">
        <f t="shared" si="24"/>
        <v>0.39006880047861203</v>
      </c>
      <c r="AE33" s="7">
        <f t="shared" si="25"/>
        <v>1.4059228238109456E-2</v>
      </c>
      <c r="AF33" s="6">
        <f t="shared" si="26"/>
        <v>1177</v>
      </c>
      <c r="AG33" s="6">
        <f t="shared" si="27"/>
        <v>442</v>
      </c>
      <c r="AH33" s="7">
        <f t="shared" si="28"/>
        <v>0.37553101104502973</v>
      </c>
      <c r="AI33" s="23"/>
      <c r="AJ33" s="30">
        <f t="shared" si="29"/>
        <v>0.19587197128327849</v>
      </c>
      <c r="AK33" s="28">
        <f t="shared" si="7"/>
        <v>654.79999999999995</v>
      </c>
      <c r="AM33" s="5" t="str">
        <f t="shared" si="8"/>
        <v>LAS</v>
      </c>
      <c r="AN33" s="6">
        <f t="shared" si="9"/>
        <v>3747</v>
      </c>
      <c r="AO33" s="6">
        <f t="shared" si="10"/>
        <v>1872</v>
      </c>
      <c r="AP33" s="7">
        <f t="shared" si="11"/>
        <v>0.49959967974379504</v>
      </c>
      <c r="AQ33" s="6">
        <f t="shared" si="30"/>
        <v>1875</v>
      </c>
      <c r="AR33" s="7">
        <f t="shared" si="31"/>
        <v>0.40886042167066988</v>
      </c>
      <c r="AS33" s="7">
        <f t="shared" si="32"/>
        <v>9.0739258073125162E-2</v>
      </c>
      <c r="AT33" s="6">
        <f t="shared" si="33"/>
        <v>3603</v>
      </c>
      <c r="AU33" s="6">
        <f t="shared" si="34"/>
        <v>1238</v>
      </c>
      <c r="AV33" s="7">
        <f t="shared" si="35"/>
        <v>0.34360255342769913</v>
      </c>
      <c r="AW33" s="23"/>
      <c r="AX33" s="30">
        <f t="shared" si="36"/>
        <v>0.10040032025620493</v>
      </c>
      <c r="AY33" s="28">
        <f t="shared" si="37"/>
        <v>376.19999999999982</v>
      </c>
    </row>
    <row r="34" spans="2:51" x14ac:dyDescent="0.35">
      <c r="B34" s="79">
        <f>_xlfn.MAXIFS(flu_aw25[week],flu_aw25[trust_code],$G34)</f>
        <v>46076</v>
      </c>
      <c r="C34" s="2">
        <f>VLOOKUP($B34,flu_aw25[[week]:[iso_week]],2,0)</f>
        <v>9</v>
      </c>
      <c r="D34" s="79">
        <f>_xlfn.MAXIFS(flu_aw24[week],flu_aw24[trust_code],$G34)</f>
        <v>45705</v>
      </c>
      <c r="E34" s="2">
        <f>VLOOKUP($D34,flu_aw24[[week]:[iso_week]],2,0)</f>
        <v>8</v>
      </c>
      <c r="G34" s="5" t="s">
        <v>130</v>
      </c>
      <c r="H34" s="5" t="s">
        <v>131</v>
      </c>
      <c r="I34" s="5" t="s">
        <v>132</v>
      </c>
      <c r="J34" s="5" t="str">
        <f>VLOOKUP($G34,trust_lookup[],4,0)</f>
        <v>Acute</v>
      </c>
      <c r="K34" s="5" t="s">
        <v>192</v>
      </c>
      <c r="L34" s="6">
        <f>IF(SUMIFS(flu_aw25[flhcw],flu_aw25[trust_code],$G34,flu_aw25[iso_week],$C34)=0,"-",SUMIFS(flu_aw25[flhcw],flu_aw25[trust_code],$G34,flu_aw25[iso_week],$C34))</f>
        <v>4229</v>
      </c>
      <c r="M34" s="6">
        <f>IF(SUMIFS(flu_aw25[cumulative_aw25_vve],flu_aw25[trust_code],$G34,flu_aw25[iso_week],$C34)=0,"-",SUMIFS(flu_aw25[cumulative_aw25_vve],flu_aw25[trust_code],$G34,flu_aw25[iso_week],$C34))</f>
        <v>1792</v>
      </c>
      <c r="N34" s="7">
        <f t="shared" si="16"/>
        <v>0.42374083707732324</v>
      </c>
      <c r="O34" s="7">
        <f>SUMIFS(flu_eng[fl_5%_target],flu_eng[trust_code],$G34)</f>
        <v>0.431501678</v>
      </c>
      <c r="P34" s="6">
        <f>IFERROR(SUMIFS(flu_aw24[cumulative_aw24_vve],flu_aw24[trust_code],$G34,flu_aw24[iso_week],$E34),"-")</f>
        <v>1586</v>
      </c>
      <c r="Q34" s="7">
        <f t="shared" si="17"/>
        <v>0.37502955781508629</v>
      </c>
      <c r="R34" s="6">
        <f>IFERROR(SUMIFS(flu_eng[nfl_staff],flu_eng[trust_code],$G34),"-")</f>
        <v>4507</v>
      </c>
      <c r="S34" s="6">
        <f>IFERROR(SUMIFS(flu_eng[nfl_doses],flu_eng[trust_code],$G34),"-")</f>
        <v>1798</v>
      </c>
      <c r="T34" s="7">
        <f t="shared" si="18"/>
        <v>0.3989349900155314</v>
      </c>
      <c r="U34" s="2">
        <f t="shared" si="19"/>
        <v>13</v>
      </c>
      <c r="W34" s="2">
        <v>17</v>
      </c>
      <c r="Y34" s="5" t="str">
        <f t="shared" si="6"/>
        <v>Whittington</v>
      </c>
      <c r="Z34" s="6">
        <f t="shared" si="20"/>
        <v>2969</v>
      </c>
      <c r="AA34" s="6">
        <f t="shared" si="21"/>
        <v>1185</v>
      </c>
      <c r="AB34" s="7">
        <f t="shared" si="22"/>
        <v>0.39912428427079827</v>
      </c>
      <c r="AC34" s="6">
        <f t="shared" si="23"/>
        <v>1784</v>
      </c>
      <c r="AD34" s="7">
        <f t="shared" si="24"/>
        <v>0.34590771303469181</v>
      </c>
      <c r="AE34" s="7">
        <f t="shared" si="25"/>
        <v>5.3216571236106458E-2</v>
      </c>
      <c r="AF34" s="6">
        <f t="shared" si="26"/>
        <v>1632</v>
      </c>
      <c r="AG34" s="6">
        <f t="shared" si="27"/>
        <v>519</v>
      </c>
      <c r="AH34" s="7">
        <f t="shared" si="28"/>
        <v>0.31801470588235292</v>
      </c>
      <c r="AI34" s="23"/>
      <c r="AJ34" s="30">
        <f t="shared" si="29"/>
        <v>0.20087571572920171</v>
      </c>
      <c r="AK34" s="28">
        <f t="shared" si="7"/>
        <v>596.39999999999986</v>
      </c>
      <c r="AM34" s="5" t="str">
        <f t="shared" si="8"/>
        <v>LNW</v>
      </c>
      <c r="AN34" s="6">
        <f t="shared" si="9"/>
        <v>4229</v>
      </c>
      <c r="AO34" s="6">
        <f t="shared" si="10"/>
        <v>1792</v>
      </c>
      <c r="AP34" s="7">
        <f t="shared" si="11"/>
        <v>0.42374083707732324</v>
      </c>
      <c r="AQ34" s="6">
        <f t="shared" si="30"/>
        <v>2437</v>
      </c>
      <c r="AR34" s="7">
        <f t="shared" si="31"/>
        <v>0.37502955781508629</v>
      </c>
      <c r="AS34" s="7">
        <f t="shared" si="32"/>
        <v>4.8711279262236951E-2</v>
      </c>
      <c r="AT34" s="6">
        <f t="shared" si="33"/>
        <v>4507</v>
      </c>
      <c r="AU34" s="6">
        <f t="shared" si="34"/>
        <v>1798</v>
      </c>
      <c r="AV34" s="7">
        <f t="shared" si="35"/>
        <v>0.3989349900155314</v>
      </c>
      <c r="AW34" s="23"/>
      <c r="AX34" s="30">
        <f t="shared" si="36"/>
        <v>0.17625916292267674</v>
      </c>
      <c r="AY34" s="28">
        <f t="shared" si="37"/>
        <v>745.40000000000009</v>
      </c>
    </row>
    <row r="35" spans="2:51" x14ac:dyDescent="0.35">
      <c r="B35" s="79">
        <f>_xlfn.MAXIFS(flu_aw25[week],flu_aw25[trust_code],$G35)</f>
        <v>46062</v>
      </c>
      <c r="C35" s="2">
        <f>VLOOKUP($B35,flu_aw25[[week]:[iso_week]],2,0)</f>
        <v>7</v>
      </c>
      <c r="D35" s="79">
        <f>_xlfn.MAXIFS(flu_aw24[week],flu_aw24[trust_code],$G35)</f>
        <v>45719</v>
      </c>
      <c r="E35" s="2">
        <f>VLOOKUP($D35,flu_aw24[[week]:[iso_week]],2,0)</f>
        <v>10</v>
      </c>
      <c r="G35" s="5" t="s">
        <v>136</v>
      </c>
      <c r="H35" s="5" t="s">
        <v>137</v>
      </c>
      <c r="I35" s="5" t="s">
        <v>138</v>
      </c>
      <c r="J35" s="5" t="str">
        <f>VLOOKUP($G35,trust_lookup[],4,0)</f>
        <v>Specialist</v>
      </c>
      <c r="K35" s="5" t="s">
        <v>27</v>
      </c>
      <c r="L35" s="6">
        <f>IF(SUMIFS(flu_aw25[flhcw],flu_aw25[trust_code],$G35,flu_aw25[iso_week],$C35)=0,"-",SUMIFS(flu_aw25[flhcw],flu_aw25[trust_code],$G35,flu_aw25[iso_week],$C35))</f>
        <v>1794</v>
      </c>
      <c r="M35" s="6">
        <f>IF(SUMIFS(flu_aw25[cumulative_aw25_vve],flu_aw25[trust_code],$G35,flu_aw25[iso_week],$C35)=0,"-",SUMIFS(flu_aw25[cumulative_aw25_vve],flu_aw25[trust_code],$G35,flu_aw25[iso_week],$C35))</f>
        <v>916</v>
      </c>
      <c r="N35" s="7">
        <f t="shared" si="16"/>
        <v>0.5105908584169454</v>
      </c>
      <c r="O35" s="7">
        <f>SUMIFS(flu_eng[fl_5%_target],flu_eng[trust_code],$G35)</f>
        <v>0.52152480099999998</v>
      </c>
      <c r="P35" s="6">
        <f>IFERROR(SUMIFS(flu_aw24[cumulative_aw24_vve],flu_aw24[trust_code],$G35,flu_aw24[iso_week],$E35),"-")</f>
        <v>793</v>
      </c>
      <c r="Q35" s="7">
        <f t="shared" si="17"/>
        <v>0.4420289855072464</v>
      </c>
      <c r="R35" s="6">
        <f>IFERROR(SUMIFS(flu_eng[nfl_staff],flu_eng[trust_code],$G35),"-")</f>
        <v>1357</v>
      </c>
      <c r="S35" s="6">
        <f>IFERROR(SUMIFS(flu_eng[nfl_doses],flu_eng[trust_code],$G35),"-")</f>
        <v>448</v>
      </c>
      <c r="T35" s="7">
        <f t="shared" si="18"/>
        <v>0.33014001473839349</v>
      </c>
      <c r="U35" s="2">
        <f t="shared" si="19"/>
        <v>2</v>
      </c>
      <c r="W35" s="2">
        <v>18</v>
      </c>
      <c r="Y35" s="5" t="str">
        <f t="shared" si="6"/>
        <v>BHR</v>
      </c>
      <c r="Z35" s="6">
        <f t="shared" si="20"/>
        <v>6933</v>
      </c>
      <c r="AA35" s="6">
        <f t="shared" si="21"/>
        <v>2732</v>
      </c>
      <c r="AB35" s="7">
        <f t="shared" si="22"/>
        <v>0.39405740660608685</v>
      </c>
      <c r="AC35" s="6">
        <f t="shared" si="23"/>
        <v>4201</v>
      </c>
      <c r="AD35" s="7">
        <f t="shared" si="24"/>
        <v>0.409346603202077</v>
      </c>
      <c r="AE35" s="7">
        <f t="shared" si="25"/>
        <v>-1.5289196595990151E-2</v>
      </c>
      <c r="AF35" s="6">
        <f t="shared" si="26"/>
        <v>1842</v>
      </c>
      <c r="AG35" s="6">
        <f t="shared" si="27"/>
        <v>530</v>
      </c>
      <c r="AH35" s="7">
        <f t="shared" si="28"/>
        <v>0.28773072747014117</v>
      </c>
      <c r="AI35" s="23"/>
      <c r="AJ35" s="30">
        <f t="shared" si="29"/>
        <v>0.20594259339391313</v>
      </c>
      <c r="AK35" s="28">
        <f t="shared" si="7"/>
        <v>1427.8000000000002</v>
      </c>
      <c r="AM35" s="5" t="str">
        <f t="shared" si="8"/>
        <v>Moorfields</v>
      </c>
      <c r="AN35" s="6">
        <f t="shared" si="9"/>
        <v>1794</v>
      </c>
      <c r="AO35" s="6">
        <f t="shared" si="10"/>
        <v>916</v>
      </c>
      <c r="AP35" s="7">
        <f t="shared" si="11"/>
        <v>0.5105908584169454</v>
      </c>
      <c r="AQ35" s="6">
        <f t="shared" si="30"/>
        <v>878</v>
      </c>
      <c r="AR35" s="7">
        <f t="shared" si="31"/>
        <v>0.4420289855072464</v>
      </c>
      <c r="AS35" s="7">
        <f t="shared" si="32"/>
        <v>6.8561872909699006E-2</v>
      </c>
      <c r="AT35" s="6">
        <f t="shared" si="33"/>
        <v>1357</v>
      </c>
      <c r="AU35" s="6">
        <f t="shared" si="34"/>
        <v>448</v>
      </c>
      <c r="AV35" s="7">
        <f t="shared" si="35"/>
        <v>0.33014001473839349</v>
      </c>
      <c r="AW35" s="23"/>
      <c r="AX35" s="30">
        <f t="shared" si="36"/>
        <v>8.9409141583054574E-2</v>
      </c>
      <c r="AY35" s="28">
        <f t="shared" si="37"/>
        <v>160.39999999999986</v>
      </c>
    </row>
    <row r="36" spans="2:51" x14ac:dyDescent="0.35">
      <c r="B36" s="79">
        <f>_xlfn.MAXIFS(flu_aw25[week],flu_aw25[trust_code],$G36)</f>
        <v>46076</v>
      </c>
      <c r="C36" s="2">
        <f>VLOOKUP($B36,flu_aw25[[week]:[iso_week]],2,0)</f>
        <v>9</v>
      </c>
      <c r="D36" s="79">
        <f>_xlfn.MAXIFS(flu_aw24[week],flu_aw24[trust_code],$G36)</f>
        <v>45733</v>
      </c>
      <c r="E36" s="2">
        <f>VLOOKUP($D36,flu_aw24[[week]:[iso_week]],2,0)</f>
        <v>12</v>
      </c>
      <c r="G36" s="5" t="s">
        <v>142</v>
      </c>
      <c r="H36" s="5" t="s">
        <v>143</v>
      </c>
      <c r="I36" s="5" t="s">
        <v>144</v>
      </c>
      <c r="J36" s="5" t="str">
        <f>VLOOKUP($G36,trust_lookup[],4,0)</f>
        <v>Mental Health &amp; Community</v>
      </c>
      <c r="K36" s="5" t="s">
        <v>190</v>
      </c>
      <c r="L36" s="6">
        <f>IF(SUMIFS(flu_aw25[flhcw],flu_aw25[trust_code],$G36,flu_aw25[iso_week],$C36)=0,"-",SUMIFS(flu_aw25[flhcw],flu_aw25[trust_code],$G36,flu_aw25[iso_week],$C36))</f>
        <v>6076</v>
      </c>
      <c r="M36" s="6">
        <f>IF(SUMIFS(flu_aw25[cumulative_aw25_vve],flu_aw25[trust_code],$G36,flu_aw25[iso_week],$C36)=0,"-",SUMIFS(flu_aw25[cumulative_aw25_vve],flu_aw25[trust_code],$G36,flu_aw25[iso_week],$C36))</f>
        <v>1987</v>
      </c>
      <c r="N36" s="7">
        <f t="shared" si="16"/>
        <v>0.32702435813034891</v>
      </c>
      <c r="O36" s="7">
        <f>SUMIFS(flu_eng[fl_5%_target],flu_eng[trust_code],$G36)</f>
        <v>0.34624109999999902</v>
      </c>
      <c r="P36" s="6">
        <f>IFERROR(SUMIFS(flu_aw24[cumulative_aw24_vve],flu_aw24[trust_code],$G36,flu_aw24[iso_week],$E36),"-")</f>
        <v>1760</v>
      </c>
      <c r="Q36" s="7">
        <f t="shared" si="17"/>
        <v>0.28966425279789337</v>
      </c>
      <c r="R36" s="6">
        <f>IFERROR(SUMIFS(flu_eng[nfl_staff],flu_eng[trust_code],$G36),"-")</f>
        <v>1488</v>
      </c>
      <c r="S36" s="6">
        <f>IFERROR(SUMIFS(flu_eng[nfl_doses],flu_eng[trust_code],$G36),"-")</f>
        <v>539</v>
      </c>
      <c r="T36" s="7">
        <f t="shared" si="18"/>
        <v>0.36223118279569894</v>
      </c>
      <c r="U36" s="2">
        <f t="shared" si="19"/>
        <v>30</v>
      </c>
      <c r="W36" s="2">
        <v>19</v>
      </c>
      <c r="Y36" s="5" t="str">
        <f t="shared" si="6"/>
        <v>SLAM</v>
      </c>
      <c r="Z36" s="6">
        <f t="shared" si="20"/>
        <v>4107</v>
      </c>
      <c r="AA36" s="6">
        <f t="shared" si="21"/>
        <v>1600</v>
      </c>
      <c r="AB36" s="7">
        <f t="shared" si="22"/>
        <v>0.38957876795714635</v>
      </c>
      <c r="AC36" s="6">
        <f t="shared" si="23"/>
        <v>2507</v>
      </c>
      <c r="AD36" s="7">
        <f t="shared" si="24"/>
        <v>0.31896761626491354</v>
      </c>
      <c r="AE36" s="7">
        <f t="shared" si="25"/>
        <v>7.061115169223281E-2</v>
      </c>
      <c r="AF36" s="6">
        <f t="shared" si="26"/>
        <v>2023</v>
      </c>
      <c r="AG36" s="6">
        <f t="shared" si="27"/>
        <v>722</v>
      </c>
      <c r="AH36" s="7">
        <f t="shared" si="28"/>
        <v>0.3568956994562531</v>
      </c>
      <c r="AI36" s="23"/>
      <c r="AJ36" s="30">
        <f t="shared" si="29"/>
        <v>0.21042123204285362</v>
      </c>
      <c r="AK36" s="28">
        <f t="shared" si="7"/>
        <v>864.19999999999982</v>
      </c>
      <c r="AM36" s="5" t="str">
        <f t="shared" si="8"/>
        <v>NELFT</v>
      </c>
      <c r="AN36" s="6">
        <f t="shared" si="9"/>
        <v>6076</v>
      </c>
      <c r="AO36" s="6">
        <f t="shared" si="10"/>
        <v>1987</v>
      </c>
      <c r="AP36" s="7">
        <f t="shared" si="11"/>
        <v>0.32702435813034891</v>
      </c>
      <c r="AQ36" s="6">
        <f t="shared" si="30"/>
        <v>4089</v>
      </c>
      <c r="AR36" s="7">
        <f t="shared" si="31"/>
        <v>0.28966425279789337</v>
      </c>
      <c r="AS36" s="7">
        <f t="shared" si="32"/>
        <v>3.736010533245554E-2</v>
      </c>
      <c r="AT36" s="6">
        <f t="shared" si="33"/>
        <v>1488</v>
      </c>
      <c r="AU36" s="6">
        <f t="shared" si="34"/>
        <v>539</v>
      </c>
      <c r="AV36" s="7">
        <f t="shared" si="35"/>
        <v>0.36223118279569894</v>
      </c>
      <c r="AW36" s="23"/>
      <c r="AX36" s="30">
        <f t="shared" si="36"/>
        <v>0.27297564186965106</v>
      </c>
      <c r="AY36" s="28">
        <f t="shared" si="37"/>
        <v>1658.6</v>
      </c>
    </row>
    <row r="37" spans="2:51" x14ac:dyDescent="0.35">
      <c r="B37" s="79">
        <f>_xlfn.MAXIFS(flu_aw25[week],flu_aw25[trust_code],$G37)</f>
        <v>46076</v>
      </c>
      <c r="C37" s="2">
        <f>VLOOKUP($B37,flu_aw25[[week]:[iso_week]],2,0)</f>
        <v>9</v>
      </c>
      <c r="D37" s="79">
        <f>_xlfn.MAXIFS(flu_aw24[week],flu_aw24[trust_code],$G37)</f>
        <v>45726</v>
      </c>
      <c r="E37" s="2">
        <f>VLOOKUP($D37,flu_aw24[[week]:[iso_week]],2,0)</f>
        <v>11</v>
      </c>
      <c r="G37" s="5" t="s">
        <v>147</v>
      </c>
      <c r="H37" s="5" t="s">
        <v>148</v>
      </c>
      <c r="I37" s="5" t="s">
        <v>149</v>
      </c>
      <c r="J37" s="5" t="str">
        <f>VLOOKUP($G37,trust_lookup[],4,0)</f>
        <v>Mental Health</v>
      </c>
      <c r="K37" s="5" t="s">
        <v>27</v>
      </c>
      <c r="L37" s="6">
        <f>IF(SUMIFS(flu_aw25[flhcw],flu_aw25[trust_code],$G37,flu_aw25[iso_week],$C37)=0,"-",SUMIFS(flu_aw25[flhcw],flu_aw25[trust_code],$G37,flu_aw25[iso_week],$C37))</f>
        <v>5165</v>
      </c>
      <c r="M37" s="6">
        <f>IF(SUMIFS(flu_aw25[cumulative_aw25_vve],flu_aw25[trust_code],$G37,flu_aw25[iso_week],$C37)=0,"-",SUMIFS(flu_aw25[cumulative_aw25_vve],flu_aw25[trust_code],$G37,flu_aw25[iso_week],$C37))</f>
        <v>1652</v>
      </c>
      <c r="N37" s="7">
        <f t="shared" si="16"/>
        <v>0.31984511132623428</v>
      </c>
      <c r="O37" s="7">
        <f>SUMIFS(flu_eng[fl_5%_target],flu_eng[trust_code],$G37)</f>
        <v>0.29190700400000003</v>
      </c>
      <c r="P37" s="6">
        <f>IFERROR(SUMIFS(flu_aw24[cumulative_aw24_vve],flu_aw24[trust_code],$G37,flu_aw24[iso_week],$E37),"-")</f>
        <v>1240</v>
      </c>
      <c r="Q37" s="7">
        <f t="shared" si="17"/>
        <v>0.24007744433688286</v>
      </c>
      <c r="R37" s="6">
        <f>IFERROR(SUMIFS(flu_eng[nfl_staff],flu_eng[trust_code],$G37),"-")</f>
        <v>1089</v>
      </c>
      <c r="S37" s="6">
        <f>IFERROR(SUMIFS(flu_eng[nfl_doses],flu_eng[trust_code],$G37),"-")</f>
        <v>328</v>
      </c>
      <c r="T37" s="7">
        <f t="shared" si="18"/>
        <v>0.30119375573921031</v>
      </c>
      <c r="U37" s="2">
        <f t="shared" si="19"/>
        <v>32</v>
      </c>
      <c r="W37" s="2">
        <v>20</v>
      </c>
      <c r="Y37" s="5" t="str">
        <f t="shared" si="6"/>
        <v>Oxleas</v>
      </c>
      <c r="Z37" s="6">
        <f t="shared" si="20"/>
        <v>3051</v>
      </c>
      <c r="AA37" s="6">
        <f t="shared" si="21"/>
        <v>1169</v>
      </c>
      <c r="AB37" s="7">
        <f t="shared" si="22"/>
        <v>0.38315306456899378</v>
      </c>
      <c r="AC37" s="6">
        <f t="shared" si="23"/>
        <v>1882</v>
      </c>
      <c r="AD37" s="7">
        <f t="shared" si="24"/>
        <v>0.31235660439200263</v>
      </c>
      <c r="AE37" s="7">
        <f t="shared" si="25"/>
        <v>7.0796460176991149E-2</v>
      </c>
      <c r="AF37" s="6">
        <f t="shared" si="26"/>
        <v>2154</v>
      </c>
      <c r="AG37" s="6">
        <f t="shared" si="27"/>
        <v>872</v>
      </c>
      <c r="AH37" s="7">
        <f t="shared" si="28"/>
        <v>0.40482822655524603</v>
      </c>
      <c r="AI37" s="23"/>
      <c r="AJ37" s="30">
        <f t="shared" si="29"/>
        <v>0.21684693543100619</v>
      </c>
      <c r="AK37" s="28">
        <f t="shared" si="7"/>
        <v>661.59999999999991</v>
      </c>
      <c r="AM37" s="5" t="str">
        <f t="shared" si="8"/>
        <v>North London</v>
      </c>
      <c r="AN37" s="6">
        <f t="shared" si="9"/>
        <v>5165</v>
      </c>
      <c r="AO37" s="6">
        <f t="shared" si="10"/>
        <v>1652</v>
      </c>
      <c r="AP37" s="7">
        <f t="shared" si="11"/>
        <v>0.31984511132623428</v>
      </c>
      <c r="AQ37" s="6">
        <f t="shared" si="30"/>
        <v>3513</v>
      </c>
      <c r="AR37" s="7">
        <f t="shared" si="31"/>
        <v>0.24007744433688286</v>
      </c>
      <c r="AS37" s="7">
        <f t="shared" si="32"/>
        <v>7.9767666989351421E-2</v>
      </c>
      <c r="AT37" s="6">
        <f t="shared" si="33"/>
        <v>1089</v>
      </c>
      <c r="AU37" s="6">
        <f t="shared" si="34"/>
        <v>328</v>
      </c>
      <c r="AV37" s="7">
        <f t="shared" si="35"/>
        <v>0.30119375573921031</v>
      </c>
      <c r="AW37" s="23"/>
      <c r="AX37" s="30">
        <f t="shared" si="36"/>
        <v>0.2801548886737657</v>
      </c>
      <c r="AY37" s="28">
        <f t="shared" si="37"/>
        <v>1447</v>
      </c>
    </row>
    <row r="38" spans="2:51" x14ac:dyDescent="0.35">
      <c r="B38" s="79">
        <f>_xlfn.MAXIFS(flu_aw25[week],flu_aw25[trust_code],$G38)</f>
        <v>46076</v>
      </c>
      <c r="C38" s="2">
        <f>VLOOKUP($B38,flu_aw25[[week]:[iso_week]],2,0)</f>
        <v>9</v>
      </c>
      <c r="D38" s="79">
        <f>_xlfn.MAXIFS(flu_aw24[week],flu_aw24[trust_code],$G38)</f>
        <v>45733</v>
      </c>
      <c r="E38" s="2">
        <f>VLOOKUP($D38,flu_aw24[[week]:[iso_week]],2,0)</f>
        <v>12</v>
      </c>
      <c r="G38" s="5" t="s">
        <v>152</v>
      </c>
      <c r="H38" s="5" t="s">
        <v>153</v>
      </c>
      <c r="I38" s="5" t="s">
        <v>154</v>
      </c>
      <c r="J38" s="5" t="str">
        <f>VLOOKUP($G38,trust_lookup[],4,0)</f>
        <v>Mental Health &amp; Community</v>
      </c>
      <c r="K38" s="5" t="s">
        <v>193</v>
      </c>
      <c r="L38" s="6">
        <f>IF(SUMIFS(flu_aw25[flhcw],flu_aw25[trust_code],$G38,flu_aw25[iso_week],$C38)=0,"-",SUMIFS(flu_aw25[flhcw],flu_aw25[trust_code],$G38,flu_aw25[iso_week],$C38))</f>
        <v>3051</v>
      </c>
      <c r="M38" s="6">
        <f>IF(SUMIFS(flu_aw25[cumulative_aw25_vve],flu_aw25[trust_code],$G38,flu_aw25[iso_week],$C38)=0,"-",SUMIFS(flu_aw25[cumulative_aw25_vve],flu_aw25[trust_code],$G38,flu_aw25[iso_week],$C38))</f>
        <v>1169</v>
      </c>
      <c r="N38" s="7">
        <f t="shared" si="16"/>
        <v>0.38315306456899378</v>
      </c>
      <c r="O38" s="7">
        <f>SUMIFS(flu_eng[fl_5%_target],flu_eng[trust_code],$G38)</f>
        <v>0.37116788299999998</v>
      </c>
      <c r="P38" s="6">
        <f>IFERROR(SUMIFS(flu_aw24[cumulative_aw24_vve],flu_aw24[trust_code],$G38,flu_aw24[iso_week],$E38),"-")</f>
        <v>953</v>
      </c>
      <c r="Q38" s="7">
        <f t="shared" si="17"/>
        <v>0.31235660439200263</v>
      </c>
      <c r="R38" s="6">
        <f>IFERROR(SUMIFS(flu_eng[nfl_staff],flu_eng[trust_code],$G38),"-")</f>
        <v>2154</v>
      </c>
      <c r="S38" s="6">
        <f>IFERROR(SUMIFS(flu_eng[nfl_doses],flu_eng[trust_code],$G38),"-")</f>
        <v>872</v>
      </c>
      <c r="T38" s="7">
        <f t="shared" si="18"/>
        <v>0.40482822655524603</v>
      </c>
      <c r="U38" s="2">
        <f t="shared" si="19"/>
        <v>20</v>
      </c>
      <c r="W38" s="2">
        <v>21</v>
      </c>
      <c r="Y38" s="5" t="str">
        <f t="shared" si="6"/>
        <v>CLCH</v>
      </c>
      <c r="Z38" s="6">
        <f t="shared" si="20"/>
        <v>4118</v>
      </c>
      <c r="AA38" s="6">
        <f t="shared" si="21"/>
        <v>1549</v>
      </c>
      <c r="AB38" s="7">
        <f t="shared" si="22"/>
        <v>0.37615347255949488</v>
      </c>
      <c r="AC38" s="6">
        <f t="shared" si="23"/>
        <v>2569</v>
      </c>
      <c r="AD38" s="7">
        <f t="shared" si="24"/>
        <v>0.29528897523069453</v>
      </c>
      <c r="AE38" s="7">
        <f t="shared" si="25"/>
        <v>8.0864497328800355E-2</v>
      </c>
      <c r="AF38" s="6">
        <f t="shared" si="26"/>
        <v>761</v>
      </c>
      <c r="AG38" s="6">
        <f t="shared" si="27"/>
        <v>247</v>
      </c>
      <c r="AH38" s="7">
        <f t="shared" si="28"/>
        <v>0.32457293035479634</v>
      </c>
      <c r="AI38" s="23"/>
      <c r="AJ38" s="30">
        <f t="shared" si="29"/>
        <v>0.22384652744050509</v>
      </c>
      <c r="AK38" s="28">
        <f t="shared" si="7"/>
        <v>921.79999999999973</v>
      </c>
      <c r="AM38" s="5" t="str">
        <f t="shared" si="8"/>
        <v>Oxleas</v>
      </c>
      <c r="AN38" s="6">
        <f t="shared" si="9"/>
        <v>3051</v>
      </c>
      <c r="AO38" s="6">
        <f t="shared" si="10"/>
        <v>1169</v>
      </c>
      <c r="AP38" s="7">
        <f t="shared" si="11"/>
        <v>0.38315306456899378</v>
      </c>
      <c r="AQ38" s="6">
        <f t="shared" si="30"/>
        <v>1882</v>
      </c>
      <c r="AR38" s="7">
        <f t="shared" si="31"/>
        <v>0.31235660439200263</v>
      </c>
      <c r="AS38" s="7">
        <f t="shared" si="32"/>
        <v>7.0796460176991149E-2</v>
      </c>
      <c r="AT38" s="6">
        <f t="shared" si="33"/>
        <v>2154</v>
      </c>
      <c r="AU38" s="6">
        <f t="shared" si="34"/>
        <v>872</v>
      </c>
      <c r="AV38" s="7">
        <f t="shared" si="35"/>
        <v>0.40482822655524603</v>
      </c>
      <c r="AW38" s="23"/>
      <c r="AX38" s="30">
        <f t="shared" si="36"/>
        <v>0.21684693543100619</v>
      </c>
      <c r="AY38" s="28">
        <f t="shared" si="37"/>
        <v>661.59999999999991</v>
      </c>
    </row>
    <row r="39" spans="2:51" x14ac:dyDescent="0.35">
      <c r="B39" s="79">
        <f>_xlfn.MAXIFS(flu_aw25[week],flu_aw25[trust_code],$G39)</f>
        <v>46076</v>
      </c>
      <c r="C39" s="2">
        <f>VLOOKUP($B39,flu_aw25[[week]:[iso_week]],2,0)</f>
        <v>9</v>
      </c>
      <c r="D39" s="79">
        <f>_xlfn.MAXIFS(flu_aw24[week],flu_aw24[trust_code],$G39)</f>
        <v>45747</v>
      </c>
      <c r="E39" s="2">
        <f>VLOOKUP($D39,flu_aw24[[week]:[iso_week]],2,0)</f>
        <v>14</v>
      </c>
      <c r="G39" s="5" t="s">
        <v>157</v>
      </c>
      <c r="H39" s="5" t="s">
        <v>158</v>
      </c>
      <c r="I39" s="5" t="s">
        <v>159</v>
      </c>
      <c r="J39" s="5" t="str">
        <f>VLOOKUP($G39,trust_lookup[],4,0)</f>
        <v>Acute</v>
      </c>
      <c r="K39" s="5" t="s">
        <v>27</v>
      </c>
      <c r="L39" s="6">
        <f>IF(SUMIFS(flu_aw25[flhcw],flu_aw25[trust_code],$G39,flu_aw25[iso_week],$C39)=0,"-",SUMIFS(flu_aw25[flhcw],flu_aw25[trust_code],$G39,flu_aw25[iso_week],$C39))</f>
        <v>18776</v>
      </c>
      <c r="M39" s="6">
        <f>IF(SUMIFS(flu_aw25[cumulative_aw25_vve],flu_aw25[trust_code],$G39,flu_aw25[iso_week],$C39)=0,"-",SUMIFS(flu_aw25[cumulative_aw25_vve],flu_aw25[trust_code],$G39,flu_aw25[iso_week],$C39))</f>
        <v>6979</v>
      </c>
      <c r="N39" s="7">
        <f t="shared" si="16"/>
        <v>0.37169791222837667</v>
      </c>
      <c r="O39" s="7">
        <f>SUMIFS(flu_eng[fl_5%_target],flu_eng[trust_code],$G39)</f>
        <v>0.35984664599999999</v>
      </c>
      <c r="P39" s="6">
        <f>IFERROR(SUMIFS(flu_aw24[cumulative_aw24_vve],flu_aw24[trust_code],$G39,flu_aw24[iso_week],$E39),"-")</f>
        <v>5705</v>
      </c>
      <c r="Q39" s="7">
        <f t="shared" si="17"/>
        <v>0.3038453344695356</v>
      </c>
      <c r="R39" s="6">
        <f>IFERROR(SUMIFS(flu_eng[nfl_staff],flu_eng[trust_code],$G39),"-")</f>
        <v>1957</v>
      </c>
      <c r="S39" s="6">
        <f>IFERROR(SUMIFS(flu_eng[nfl_doses],flu_eng[trust_code],$G39),"-")</f>
        <v>664</v>
      </c>
      <c r="T39" s="7">
        <f t="shared" si="18"/>
        <v>0.33929483903934593</v>
      </c>
      <c r="U39" s="2">
        <f t="shared" si="19"/>
        <v>23</v>
      </c>
      <c r="W39" s="2">
        <v>22</v>
      </c>
      <c r="Y39" s="5" t="str">
        <f t="shared" si="6"/>
        <v>Imperial</v>
      </c>
      <c r="Z39" s="6">
        <f t="shared" si="20"/>
        <v>11552</v>
      </c>
      <c r="AA39" s="6">
        <f t="shared" si="21"/>
        <v>4333</v>
      </c>
      <c r="AB39" s="7">
        <f t="shared" si="22"/>
        <v>0.37508656509695293</v>
      </c>
      <c r="AC39" s="6">
        <f t="shared" si="23"/>
        <v>7219</v>
      </c>
      <c r="AD39" s="7">
        <f t="shared" si="24"/>
        <v>0.31120152354570635</v>
      </c>
      <c r="AE39" s="7">
        <f t="shared" si="25"/>
        <v>6.388504155124658E-2</v>
      </c>
      <c r="AF39" s="6">
        <f t="shared" si="26"/>
        <v>4047</v>
      </c>
      <c r="AG39" s="6">
        <f t="shared" si="27"/>
        <v>1225</v>
      </c>
      <c r="AH39" s="7">
        <f t="shared" si="28"/>
        <v>0.30269335310106249</v>
      </c>
      <c r="AI39" s="23"/>
      <c r="AJ39" s="30">
        <f t="shared" si="29"/>
        <v>0.22491343490304705</v>
      </c>
      <c r="AK39" s="28">
        <f t="shared" si="7"/>
        <v>2598.1999999999998</v>
      </c>
      <c r="AM39" s="5" t="str">
        <f t="shared" si="8"/>
        <v>Royal Free</v>
      </c>
      <c r="AN39" s="6">
        <f t="shared" si="9"/>
        <v>18776</v>
      </c>
      <c r="AO39" s="6">
        <f t="shared" si="10"/>
        <v>6979</v>
      </c>
      <c r="AP39" s="7">
        <f t="shared" si="11"/>
        <v>0.37169791222837667</v>
      </c>
      <c r="AQ39" s="6">
        <f t="shared" si="30"/>
        <v>11797</v>
      </c>
      <c r="AR39" s="7">
        <f t="shared" si="31"/>
        <v>0.3038453344695356</v>
      </c>
      <c r="AS39" s="7">
        <f t="shared" si="32"/>
        <v>6.7852577758841071E-2</v>
      </c>
      <c r="AT39" s="6">
        <f t="shared" si="33"/>
        <v>1957</v>
      </c>
      <c r="AU39" s="6">
        <f t="shared" si="34"/>
        <v>664</v>
      </c>
      <c r="AV39" s="7">
        <f t="shared" si="35"/>
        <v>0.33929483903934593</v>
      </c>
      <c r="AW39" s="23"/>
      <c r="AX39" s="30">
        <f t="shared" si="36"/>
        <v>0.22830208777162331</v>
      </c>
      <c r="AY39" s="28">
        <f t="shared" si="37"/>
        <v>4286.6000000000004</v>
      </c>
    </row>
    <row r="40" spans="2:51" x14ac:dyDescent="0.35">
      <c r="B40" s="79">
        <f>_xlfn.MAXIFS(flu_aw25[week],flu_aw25[trust_code],$G40)</f>
        <v>46069</v>
      </c>
      <c r="C40" s="2">
        <f>VLOOKUP($B40,flu_aw25[[week]:[iso_week]],2,0)</f>
        <v>8</v>
      </c>
      <c r="D40" s="79">
        <f>_xlfn.MAXIFS(flu_aw24[week],flu_aw24[trust_code],$G40)</f>
        <v>45705</v>
      </c>
      <c r="E40" s="2">
        <f>VLOOKUP($D40,flu_aw24[[week]:[iso_week]],2,0)</f>
        <v>8</v>
      </c>
      <c r="G40" s="5" t="s">
        <v>161</v>
      </c>
      <c r="H40" s="5" t="s">
        <v>162</v>
      </c>
      <c r="I40" s="5" t="s">
        <v>163</v>
      </c>
      <c r="J40" s="5" t="str">
        <f>VLOOKUP($G40,trust_lookup[],4,0)</f>
        <v>Specialist</v>
      </c>
      <c r="K40" s="5" t="s">
        <v>27</v>
      </c>
      <c r="L40" s="6">
        <f>IF(SUMIFS(flu_aw25[flhcw],flu_aw25[trust_code],$G40,flu_aw25[iso_week],$C40)=0,"-",SUMIFS(flu_aw25[flhcw],flu_aw25[trust_code],$G40,flu_aw25[iso_week],$C40))</f>
        <v>1002</v>
      </c>
      <c r="M40" s="6">
        <f>IF(SUMIFS(flu_aw25[cumulative_aw25_vve],flu_aw25[trust_code],$G40,flu_aw25[iso_week],$C40)=0,"-",SUMIFS(flu_aw25[cumulative_aw25_vve],flu_aw25[trust_code],$G40,flu_aw25[iso_week],$C40))</f>
        <v>427</v>
      </c>
      <c r="N40" s="60">
        <f t="shared" si="16"/>
        <v>0.42614770459081835</v>
      </c>
      <c r="O40" s="60">
        <f>SUMIFS(flu_eng[fl_5%_target],flu_eng[trust_code],$G40)</f>
        <v>0.38827893199999902</v>
      </c>
      <c r="P40" s="6">
        <f>IFERROR(SUMIFS(flu_aw24[cumulative_aw24_vve],flu_aw24[trust_code],$G40,flu_aw24[iso_week],$E40),"-")</f>
        <v>343</v>
      </c>
      <c r="Q40" s="60">
        <f t="shared" si="17"/>
        <v>0.34231536926147704</v>
      </c>
      <c r="R40" s="6">
        <f>IFERROR(SUMIFS(flu_eng[nfl_staff],flu_eng[trust_code],$G40),"-")</f>
        <v>702</v>
      </c>
      <c r="S40" s="6">
        <f>IFERROR(SUMIFS(flu_eng[nfl_doses],flu_eng[trust_code],$G40),"-")</f>
        <v>289</v>
      </c>
      <c r="T40" s="60">
        <f t="shared" si="18"/>
        <v>0.4116809116809117</v>
      </c>
      <c r="U40" s="2">
        <f t="shared" si="19"/>
        <v>12</v>
      </c>
      <c r="W40" s="2">
        <v>23</v>
      </c>
      <c r="Y40" s="5" t="str">
        <f t="shared" si="6"/>
        <v>Royal Free</v>
      </c>
      <c r="Z40" s="6">
        <f t="shared" si="20"/>
        <v>18776</v>
      </c>
      <c r="AA40" s="6">
        <f t="shared" si="21"/>
        <v>6979</v>
      </c>
      <c r="AB40" s="7">
        <f t="shared" si="22"/>
        <v>0.37169791222837667</v>
      </c>
      <c r="AC40" s="6">
        <f t="shared" si="23"/>
        <v>11797</v>
      </c>
      <c r="AD40" s="7">
        <f t="shared" si="24"/>
        <v>0.3038453344695356</v>
      </c>
      <c r="AE40" s="7">
        <f t="shared" si="25"/>
        <v>6.7852577758841071E-2</v>
      </c>
      <c r="AF40" s="6">
        <f t="shared" si="26"/>
        <v>1957</v>
      </c>
      <c r="AG40" s="6">
        <f t="shared" si="27"/>
        <v>664</v>
      </c>
      <c r="AH40" s="7">
        <f t="shared" si="28"/>
        <v>0.33929483903934593</v>
      </c>
      <c r="AI40" s="23"/>
      <c r="AJ40" s="30">
        <f t="shared" si="29"/>
        <v>0.22830208777162331</v>
      </c>
      <c r="AK40" s="28">
        <f t="shared" si="7"/>
        <v>4286.6000000000004</v>
      </c>
      <c r="AM40" s="5" t="str">
        <f t="shared" si="8"/>
        <v>RNOH</v>
      </c>
      <c r="AN40" s="6">
        <f t="shared" si="9"/>
        <v>1002</v>
      </c>
      <c r="AO40" s="6">
        <f t="shared" si="10"/>
        <v>427</v>
      </c>
      <c r="AP40" s="7">
        <f t="shared" si="11"/>
        <v>0.42614770459081835</v>
      </c>
      <c r="AQ40" s="6">
        <f t="shared" si="30"/>
        <v>575</v>
      </c>
      <c r="AR40" s="7">
        <f t="shared" si="31"/>
        <v>0.34231536926147704</v>
      </c>
      <c r="AS40" s="7">
        <f t="shared" si="32"/>
        <v>8.3832335329341312E-2</v>
      </c>
      <c r="AT40" s="6">
        <f t="shared" si="33"/>
        <v>702</v>
      </c>
      <c r="AU40" s="6">
        <f t="shared" si="34"/>
        <v>289</v>
      </c>
      <c r="AV40" s="7">
        <f t="shared" si="35"/>
        <v>0.4116809116809117</v>
      </c>
      <c r="AW40" s="23"/>
      <c r="AX40" s="30">
        <f t="shared" si="36"/>
        <v>0.17385229540918162</v>
      </c>
      <c r="AY40" s="28">
        <f t="shared" si="37"/>
        <v>174.19999999999993</v>
      </c>
    </row>
    <row r="41" spans="2:51" x14ac:dyDescent="0.35">
      <c r="B41" s="79">
        <f>_xlfn.MAXIFS(flu_aw25[week],flu_aw25[trust_code],$G41)</f>
        <v>46076</v>
      </c>
      <c r="C41" s="2">
        <f>VLOOKUP($B41,flu_aw25[[week]:[iso_week]],2,0)</f>
        <v>9</v>
      </c>
      <c r="D41" s="79">
        <f>_xlfn.MAXIFS(flu_aw24[week],flu_aw24[trust_code],$G41)</f>
        <v>45740</v>
      </c>
      <c r="E41" s="2">
        <f>VLOOKUP($D41,flu_aw24[[week]:[iso_week]],2,0)</f>
        <v>13</v>
      </c>
      <c r="G41" s="5" t="s">
        <v>164</v>
      </c>
      <c r="H41" s="5" t="s">
        <v>165</v>
      </c>
      <c r="I41" s="5" t="s">
        <v>166</v>
      </c>
      <c r="J41" s="5" t="str">
        <f>VLOOKUP($G41,trust_lookup[],4,0)</f>
        <v>Mental Health</v>
      </c>
      <c r="K41" s="5" t="s">
        <v>193</v>
      </c>
      <c r="L41" s="6">
        <f>IF(SUMIFS(flu_aw25[flhcw],flu_aw25[trust_code],$G41,flu_aw25[iso_week],$C41)=0,"-",SUMIFS(flu_aw25[flhcw],flu_aw25[trust_code],$G41,flu_aw25[iso_week],$C41))</f>
        <v>4107</v>
      </c>
      <c r="M41" s="6">
        <f>IF(SUMIFS(flu_aw25[cumulative_aw25_vve],flu_aw25[trust_code],$G41,flu_aw25[iso_week],$C41)=0,"-",SUMIFS(flu_aw25[cumulative_aw25_vve],flu_aw25[trust_code],$G41,flu_aw25[iso_week],$C41))</f>
        <v>1600</v>
      </c>
      <c r="N41" s="7">
        <f t="shared" si="16"/>
        <v>0.38957876795714635</v>
      </c>
      <c r="O41" s="7">
        <f>SUMIFS(flu_eng[fl_5%_target],flu_eng[trust_code],$G41)</f>
        <v>0.37769929399999902</v>
      </c>
      <c r="P41" s="6">
        <f>IFERROR(SUMIFS(flu_aw24[cumulative_aw24_vve],flu_aw24[trust_code],$G41,flu_aw24[iso_week],$E41),"-")</f>
        <v>1310</v>
      </c>
      <c r="Q41" s="7">
        <f t="shared" si="17"/>
        <v>0.31896761626491354</v>
      </c>
      <c r="R41" s="6">
        <f>IFERROR(SUMIFS(flu_eng[nfl_staff],flu_eng[trust_code],$G41),"-")</f>
        <v>2023</v>
      </c>
      <c r="S41" s="6">
        <f>IFERROR(SUMIFS(flu_eng[nfl_doses],flu_eng[trust_code],$G41),"-")</f>
        <v>722</v>
      </c>
      <c r="T41" s="7">
        <f t="shared" si="18"/>
        <v>0.3568956994562531</v>
      </c>
      <c r="U41" s="2">
        <f t="shared" si="19"/>
        <v>19</v>
      </c>
      <c r="W41" s="2">
        <v>24</v>
      </c>
      <c r="Y41" s="5" t="str">
        <f t="shared" si="6"/>
        <v>L&amp;G</v>
      </c>
      <c r="Z41" s="6">
        <f t="shared" si="20"/>
        <v>6569</v>
      </c>
      <c r="AA41" s="6">
        <f t="shared" si="21"/>
        <v>2310</v>
      </c>
      <c r="AB41" s="7">
        <f t="shared" si="22"/>
        <v>0.35165169736641805</v>
      </c>
      <c r="AC41" s="6">
        <f t="shared" si="23"/>
        <v>4259</v>
      </c>
      <c r="AD41" s="7">
        <f t="shared" si="24"/>
        <v>0.29380423199878214</v>
      </c>
      <c r="AE41" s="7">
        <f t="shared" si="25"/>
        <v>5.7847465367635909E-2</v>
      </c>
      <c r="AF41" s="6">
        <f t="shared" si="26"/>
        <v>1472</v>
      </c>
      <c r="AG41" s="6">
        <f t="shared" si="27"/>
        <v>453</v>
      </c>
      <c r="AH41" s="7">
        <f t="shared" si="28"/>
        <v>0.3077445652173913</v>
      </c>
      <c r="AI41" s="23"/>
      <c r="AJ41" s="30">
        <f t="shared" si="29"/>
        <v>0.24834830263358193</v>
      </c>
      <c r="AK41" s="28">
        <f t="shared" si="7"/>
        <v>1631.3999999999996</v>
      </c>
      <c r="AM41" s="5" t="str">
        <f t="shared" si="8"/>
        <v>SLAM</v>
      </c>
      <c r="AN41" s="6">
        <f t="shared" si="9"/>
        <v>4107</v>
      </c>
      <c r="AO41" s="6">
        <f t="shared" si="10"/>
        <v>1600</v>
      </c>
      <c r="AP41" s="7">
        <f t="shared" si="11"/>
        <v>0.38957876795714635</v>
      </c>
      <c r="AQ41" s="6">
        <f t="shared" si="30"/>
        <v>2507</v>
      </c>
      <c r="AR41" s="7">
        <f t="shared" si="31"/>
        <v>0.31896761626491354</v>
      </c>
      <c r="AS41" s="7">
        <f t="shared" si="32"/>
        <v>7.061115169223281E-2</v>
      </c>
      <c r="AT41" s="6">
        <f t="shared" si="33"/>
        <v>2023</v>
      </c>
      <c r="AU41" s="6">
        <f t="shared" si="34"/>
        <v>722</v>
      </c>
      <c r="AV41" s="7">
        <f t="shared" si="35"/>
        <v>0.3568956994562531</v>
      </c>
      <c r="AW41" s="23"/>
      <c r="AX41" s="30">
        <f t="shared" si="36"/>
        <v>0.21042123204285362</v>
      </c>
      <c r="AY41" s="28">
        <f t="shared" si="37"/>
        <v>864.19999999999982</v>
      </c>
    </row>
    <row r="42" spans="2:51" x14ac:dyDescent="0.35">
      <c r="B42" s="79">
        <f>_xlfn.MAXIFS(flu_aw25[week],flu_aw25[trust_code],$G42)</f>
        <v>46069</v>
      </c>
      <c r="C42" s="2">
        <f>VLOOKUP($B42,flu_aw25[[week]:[iso_week]],2,0)</f>
        <v>8</v>
      </c>
      <c r="D42" s="79">
        <f>_xlfn.MAXIFS(flu_aw24[week],flu_aw24[trust_code],$G42)</f>
        <v>45740</v>
      </c>
      <c r="E42" s="2">
        <f>VLOOKUP($D42,flu_aw24[[week]:[iso_week]],2,0)</f>
        <v>13</v>
      </c>
      <c r="G42" s="5" t="s">
        <v>167</v>
      </c>
      <c r="H42" s="5" t="s">
        <v>168</v>
      </c>
      <c r="I42" s="5" t="s">
        <v>169</v>
      </c>
      <c r="J42" s="5" t="str">
        <f>VLOOKUP($G42,trust_lookup[],4,0)</f>
        <v>Mental Health</v>
      </c>
      <c r="K42" s="5" t="s">
        <v>194</v>
      </c>
      <c r="L42" s="6">
        <f>IF(SUMIFS(flu_aw25[flhcw],flu_aw25[trust_code],$G42,flu_aw25[iso_week],$C42)=0,"-",SUMIFS(flu_aw25[flhcw],flu_aw25[trust_code],$G42,flu_aw25[iso_week],$C42))</f>
        <v>2475</v>
      </c>
      <c r="M42" s="6">
        <f>IF(SUMIFS(flu_aw25[cumulative_aw25_vve],flu_aw25[trust_code],$G42,flu_aw25[iso_week],$C42)=0,"-",SUMIFS(flu_aw25[cumulative_aw25_vve],flu_aw25[trust_code],$G42,flu_aw25[iso_week],$C42))</f>
        <v>866</v>
      </c>
      <c r="N42" s="7">
        <f t="shared" si="16"/>
        <v>0.34989898989898988</v>
      </c>
      <c r="O42" s="7">
        <f>SUMIFS(flu_eng[fl_5%_target],flu_eng[trust_code],$G42)</f>
        <v>0.34144274499999999</v>
      </c>
      <c r="P42" s="6">
        <f>IFERROR(SUMIFS(flu_aw24[cumulative_aw24_vve],flu_aw24[trust_code],$G42,flu_aw24[iso_week],$E42),"-")</f>
        <v>703</v>
      </c>
      <c r="Q42" s="7">
        <f t="shared" si="17"/>
        <v>0.28404040404040404</v>
      </c>
      <c r="R42" s="6">
        <f>IFERROR(SUMIFS(flu_eng[nfl_staff],flu_eng[trust_code],$G42),"-")</f>
        <v>1182</v>
      </c>
      <c r="S42" s="6">
        <f>IFERROR(SUMIFS(flu_eng[nfl_doses],flu_eng[trust_code],$G42),"-")</f>
        <v>400</v>
      </c>
      <c r="T42" s="7">
        <f t="shared" si="18"/>
        <v>0.33840947546531303</v>
      </c>
      <c r="U42" s="2">
        <f t="shared" si="19"/>
        <v>25</v>
      </c>
      <c r="W42" s="2">
        <v>25</v>
      </c>
      <c r="Y42" s="5" t="str">
        <f t="shared" si="6"/>
        <v>SWL&amp;StG</v>
      </c>
      <c r="Z42" s="6">
        <f t="shared" si="20"/>
        <v>2475</v>
      </c>
      <c r="AA42" s="6">
        <f t="shared" si="21"/>
        <v>866</v>
      </c>
      <c r="AB42" s="7">
        <f t="shared" si="22"/>
        <v>0.34989898989898988</v>
      </c>
      <c r="AC42" s="6">
        <f t="shared" si="23"/>
        <v>1609</v>
      </c>
      <c r="AD42" s="7">
        <f t="shared" si="24"/>
        <v>0.28404040404040404</v>
      </c>
      <c r="AE42" s="7">
        <f t="shared" si="25"/>
        <v>6.5858585858585839E-2</v>
      </c>
      <c r="AF42" s="6">
        <f t="shared" si="26"/>
        <v>1182</v>
      </c>
      <c r="AG42" s="6">
        <f t="shared" si="27"/>
        <v>400</v>
      </c>
      <c r="AH42" s="7">
        <f t="shared" si="28"/>
        <v>0.33840947546531303</v>
      </c>
      <c r="AI42" s="23"/>
      <c r="AJ42" s="30">
        <f t="shared" si="29"/>
        <v>0.2501010101010101</v>
      </c>
      <c r="AK42" s="28">
        <f t="shared" si="7"/>
        <v>619</v>
      </c>
      <c r="AM42" s="5" t="str">
        <f t="shared" si="8"/>
        <v>SWL&amp;StG</v>
      </c>
      <c r="AN42" s="6">
        <f t="shared" si="9"/>
        <v>2475</v>
      </c>
      <c r="AO42" s="6">
        <f t="shared" si="10"/>
        <v>866</v>
      </c>
      <c r="AP42" s="7">
        <f t="shared" si="11"/>
        <v>0.34989898989898988</v>
      </c>
      <c r="AQ42" s="6">
        <f t="shared" si="30"/>
        <v>1609</v>
      </c>
      <c r="AR42" s="7">
        <f t="shared" si="31"/>
        <v>0.28404040404040404</v>
      </c>
      <c r="AS42" s="7">
        <f t="shared" si="32"/>
        <v>6.5858585858585839E-2</v>
      </c>
      <c r="AT42" s="6">
        <f t="shared" si="33"/>
        <v>1182</v>
      </c>
      <c r="AU42" s="6">
        <f t="shared" si="34"/>
        <v>400</v>
      </c>
      <c r="AV42" s="7">
        <f t="shared" si="35"/>
        <v>0.33840947546531303</v>
      </c>
      <c r="AW42" s="23"/>
      <c r="AX42" s="30">
        <f t="shared" si="36"/>
        <v>0.2501010101010101</v>
      </c>
      <c r="AY42" s="28">
        <f t="shared" si="37"/>
        <v>619</v>
      </c>
    </row>
    <row r="43" spans="2:51" x14ac:dyDescent="0.35">
      <c r="B43" s="79">
        <f>_xlfn.MAXIFS(flu_aw25[week],flu_aw25[trust_code],$G43)</f>
        <v>46076</v>
      </c>
      <c r="C43" s="2">
        <f>VLOOKUP($B43,flu_aw25[[week]:[iso_week]],2,0)</f>
        <v>9</v>
      </c>
      <c r="D43" s="79">
        <f>_xlfn.MAXIFS(flu_aw24[week],flu_aw24[trust_code],$G43)</f>
        <v>45740</v>
      </c>
      <c r="E43" s="2">
        <f>VLOOKUP($D43,flu_aw24[[week]:[iso_week]],2,0)</f>
        <v>13</v>
      </c>
      <c r="G43" s="5" t="s">
        <v>170</v>
      </c>
      <c r="H43" s="5" t="s">
        <v>171</v>
      </c>
      <c r="I43" s="5" t="s">
        <v>172</v>
      </c>
      <c r="J43" s="5" t="str">
        <f>VLOOKUP($G43,trust_lookup[],4,0)</f>
        <v>Acute</v>
      </c>
      <c r="K43" s="5" t="s">
        <v>194</v>
      </c>
      <c r="L43" s="6">
        <f>IF(SUMIFS(flu_aw25[flhcw],flu_aw25[trust_code],$G43,flu_aw25[iso_week],$C43)=0,"-",SUMIFS(flu_aw25[flhcw],flu_aw25[trust_code],$G43,flu_aw25[iso_week],$C43))</f>
        <v>6877</v>
      </c>
      <c r="M43" s="6">
        <f>IF(SUMIFS(flu_aw25[cumulative_aw25_vve],flu_aw25[trust_code],$G43,flu_aw25[iso_week],$C43)=0,"-",SUMIFS(flu_aw25[cumulative_aw25_vve],flu_aw25[trust_code],$G43,flu_aw25[iso_week],$C43))</f>
        <v>2846</v>
      </c>
      <c r="N43" s="7">
        <f t="shared" si="16"/>
        <v>0.41384324560127961</v>
      </c>
      <c r="O43" s="7">
        <f>SUMIFS(flu_eng[fl_5%_target],flu_eng[trust_code],$G43)</f>
        <v>0.46521953999999999</v>
      </c>
      <c r="P43" s="6">
        <f>IFERROR(SUMIFS(flu_aw24[cumulative_aw24_vve],flu_aw24[trust_code],$G43,flu_aw24[iso_week],$E43),"-")</f>
        <v>2789</v>
      </c>
      <c r="Q43" s="7">
        <f t="shared" si="17"/>
        <v>0.40555474770975714</v>
      </c>
      <c r="R43" s="6">
        <f>IFERROR(SUMIFS(flu_eng[nfl_staff],flu_eng[trust_code],$G43),"-")</f>
        <v>2989</v>
      </c>
      <c r="S43" s="6">
        <f>IFERROR(SUMIFS(flu_eng[nfl_doses],flu_eng[trust_code],$G43),"-")</f>
        <v>1111</v>
      </c>
      <c r="T43" s="7">
        <f t="shared" si="18"/>
        <v>0.37169621947139514</v>
      </c>
      <c r="U43" s="2">
        <f t="shared" si="19"/>
        <v>15</v>
      </c>
      <c r="W43" s="2">
        <v>26</v>
      </c>
      <c r="Y43" s="5" t="str">
        <f t="shared" si="6"/>
        <v>West London</v>
      </c>
      <c r="Z43" s="6">
        <f t="shared" si="20"/>
        <v>4258</v>
      </c>
      <c r="AA43" s="6">
        <f t="shared" si="21"/>
        <v>1477</v>
      </c>
      <c r="AB43" s="7">
        <f t="shared" si="22"/>
        <v>0.3468764678252701</v>
      </c>
      <c r="AC43" s="6">
        <f t="shared" si="23"/>
        <v>2781</v>
      </c>
      <c r="AD43" s="7">
        <f t="shared" si="24"/>
        <v>0.29262564584311884</v>
      </c>
      <c r="AE43" s="7">
        <f t="shared" si="25"/>
        <v>5.4250821982151254E-2</v>
      </c>
      <c r="AF43" s="6">
        <f t="shared" si="26"/>
        <v>1270</v>
      </c>
      <c r="AG43" s="6">
        <f t="shared" si="27"/>
        <v>464</v>
      </c>
      <c r="AH43" s="7">
        <f t="shared" si="28"/>
        <v>0.36535433070866141</v>
      </c>
      <c r="AI43" s="23"/>
      <c r="AJ43" s="30">
        <f t="shared" si="29"/>
        <v>0.25312353217472988</v>
      </c>
      <c r="AK43" s="28">
        <f t="shared" si="7"/>
        <v>1077.7999999999997</v>
      </c>
      <c r="AM43" s="5" t="str">
        <f t="shared" si="8"/>
        <v>St George's</v>
      </c>
      <c r="AN43" s="6">
        <f t="shared" si="9"/>
        <v>6877</v>
      </c>
      <c r="AO43" s="6">
        <f t="shared" si="10"/>
        <v>2846</v>
      </c>
      <c r="AP43" s="7">
        <f t="shared" si="11"/>
        <v>0.41384324560127961</v>
      </c>
      <c r="AQ43" s="6">
        <f t="shared" si="30"/>
        <v>4031</v>
      </c>
      <c r="AR43" s="7">
        <f t="shared" si="31"/>
        <v>0.40555474770975714</v>
      </c>
      <c r="AS43" s="7">
        <f t="shared" si="32"/>
        <v>8.2884978915224727E-3</v>
      </c>
      <c r="AT43" s="6">
        <f t="shared" si="33"/>
        <v>2989</v>
      </c>
      <c r="AU43" s="6">
        <f t="shared" si="34"/>
        <v>1111</v>
      </c>
      <c r="AV43" s="7">
        <f t="shared" si="35"/>
        <v>0.37169621947139514</v>
      </c>
      <c r="AW43" s="23"/>
      <c r="AX43" s="30">
        <f t="shared" si="36"/>
        <v>0.18615675439872037</v>
      </c>
      <c r="AY43" s="28">
        <f t="shared" si="37"/>
        <v>1280.1999999999998</v>
      </c>
    </row>
    <row r="44" spans="2:51" x14ac:dyDescent="0.35">
      <c r="B44" s="79">
        <f>_xlfn.MAXIFS(flu_aw25[week],flu_aw25[trust_code],$G44)</f>
        <v>46062</v>
      </c>
      <c r="C44" s="2">
        <f>VLOOKUP($B44,flu_aw25[[week]:[iso_week]],2,0)</f>
        <v>7</v>
      </c>
      <c r="D44" s="79">
        <f>_xlfn.MAXIFS(flu_aw24[week],flu_aw24[trust_code],$G44)</f>
        <v>45705</v>
      </c>
      <c r="E44" s="2">
        <f>VLOOKUP($D44,flu_aw24[[week]:[iso_week]],2,0)</f>
        <v>8</v>
      </c>
      <c r="G44" s="5" t="s">
        <v>173</v>
      </c>
      <c r="H44" s="5" t="s">
        <v>174</v>
      </c>
      <c r="I44" s="5" t="s">
        <v>175</v>
      </c>
      <c r="J44" s="5" t="str">
        <f>VLOOKUP($G44,trust_lookup[],4,0)</f>
        <v>Mental Health</v>
      </c>
      <c r="K44" s="5" t="s">
        <v>27</v>
      </c>
      <c r="L44" s="6">
        <f>IF(SUMIFS(flu_aw25[flhcw],flu_aw25[trust_code],$G44,flu_aw25[iso_week],$C44)=0,"-",SUMIFS(flu_aw25[flhcw],flu_aw25[trust_code],$G44,flu_aw25[iso_week],$C44))</f>
        <v>404</v>
      </c>
      <c r="M44" s="6">
        <f>IF(SUMIFS(flu_aw25[cumulative_aw25_vve],flu_aw25[trust_code],$G44,flu_aw25[iso_week],$C44)=0,"-",SUMIFS(flu_aw25[cumulative_aw25_vve],flu_aw25[trust_code],$G44,flu_aw25[iso_week],$C44))</f>
        <v>168</v>
      </c>
      <c r="N44" s="7">
        <f t="shared" si="16"/>
        <v>0.41584158415841582</v>
      </c>
      <c r="O44" s="7">
        <f>SUMIFS(flu_eng[fl_5%_target],flu_eng[trust_code],$G44)</f>
        <v>0.32752293599999999</v>
      </c>
      <c r="P44" s="6">
        <f>IFERROR(SUMIFS(flu_aw24[cumulative_aw24_vve],flu_aw24[trust_code],$G44,flu_aw24[iso_week],$E44),"-")</f>
        <v>112</v>
      </c>
      <c r="Q44" s="7">
        <f t="shared" si="17"/>
        <v>0.27722772277227725</v>
      </c>
      <c r="R44" s="6">
        <f>IFERROR(SUMIFS(flu_eng[nfl_staff],flu_eng[trust_code],$G44),"-")</f>
        <v>392</v>
      </c>
      <c r="S44" s="6">
        <f>IFERROR(SUMIFS(flu_eng[nfl_doses],flu_eng[trust_code],$G44),"-")</f>
        <v>146</v>
      </c>
      <c r="T44" s="7">
        <f t="shared" si="18"/>
        <v>0.37244897959183676</v>
      </c>
      <c r="U44" s="2">
        <f t="shared" si="19"/>
        <v>14</v>
      </c>
      <c r="W44" s="2">
        <v>27</v>
      </c>
      <c r="Y44" s="5" t="str">
        <f t="shared" si="6"/>
        <v>Barts</v>
      </c>
      <c r="Z44" s="6">
        <f t="shared" si="20"/>
        <v>21363</v>
      </c>
      <c r="AA44" s="6">
        <f t="shared" si="21"/>
        <v>7369</v>
      </c>
      <c r="AB44" s="7">
        <f t="shared" si="22"/>
        <v>0.34494218976735475</v>
      </c>
      <c r="AC44" s="6">
        <f t="shared" si="23"/>
        <v>13994</v>
      </c>
      <c r="AD44" s="7">
        <f t="shared" si="24"/>
        <v>0.27116977952534754</v>
      </c>
      <c r="AE44" s="7">
        <f t="shared" si="25"/>
        <v>7.3772410242007203E-2</v>
      </c>
      <c r="AF44" s="6">
        <f t="shared" si="26"/>
        <v>4748</v>
      </c>
      <c r="AG44" s="6">
        <f t="shared" si="27"/>
        <v>1319</v>
      </c>
      <c r="AH44" s="7">
        <f t="shared" si="28"/>
        <v>0.27780117944397642</v>
      </c>
      <c r="AI44" s="23"/>
      <c r="AJ44" s="30">
        <f t="shared" si="29"/>
        <v>0.25505781023264523</v>
      </c>
      <c r="AK44" s="28">
        <f t="shared" si="7"/>
        <v>5448.7999999999993</v>
      </c>
      <c r="AM44" s="5" t="str">
        <f t="shared" si="8"/>
        <v>T&amp;P</v>
      </c>
      <c r="AN44" s="6">
        <f t="shared" si="9"/>
        <v>404</v>
      </c>
      <c r="AO44" s="6">
        <f t="shared" si="10"/>
        <v>168</v>
      </c>
      <c r="AP44" s="7">
        <f t="shared" si="11"/>
        <v>0.41584158415841582</v>
      </c>
      <c r="AQ44" s="6">
        <f t="shared" si="30"/>
        <v>236</v>
      </c>
      <c r="AR44" s="7">
        <f t="shared" si="31"/>
        <v>0.27722772277227725</v>
      </c>
      <c r="AS44" s="7">
        <f t="shared" si="32"/>
        <v>0.13861386138613857</v>
      </c>
      <c r="AT44" s="6">
        <f t="shared" si="33"/>
        <v>392</v>
      </c>
      <c r="AU44" s="6">
        <f t="shared" si="34"/>
        <v>146</v>
      </c>
      <c r="AV44" s="7">
        <f t="shared" si="35"/>
        <v>0.37244897959183676</v>
      </c>
      <c r="AW44" s="23"/>
      <c r="AX44" s="30">
        <f t="shared" si="36"/>
        <v>0.18415841584158416</v>
      </c>
      <c r="AY44" s="28">
        <f t="shared" si="37"/>
        <v>74.399999999999977</v>
      </c>
    </row>
    <row r="45" spans="2:51" x14ac:dyDescent="0.35">
      <c r="B45" s="79">
        <f>_xlfn.MAXIFS(flu_aw25[week],flu_aw25[trust_code],$G45)</f>
        <v>46076</v>
      </c>
      <c r="C45" s="2">
        <f>VLOOKUP($B45,flu_aw25[[week]:[iso_week]],2,0)</f>
        <v>9</v>
      </c>
      <c r="D45" s="79">
        <f>_xlfn.MAXIFS(flu_aw24[week],flu_aw24[trust_code],$G45)</f>
        <v>45726</v>
      </c>
      <c r="E45" s="2">
        <f>VLOOKUP($D45,flu_aw24[[week]:[iso_week]],2,0)</f>
        <v>11</v>
      </c>
      <c r="G45" s="5" t="s">
        <v>176</v>
      </c>
      <c r="H45" s="5" t="s">
        <v>177</v>
      </c>
      <c r="I45" s="5" t="s">
        <v>178</v>
      </c>
      <c r="J45" s="5" t="str">
        <f>VLOOKUP($G45,trust_lookup[],4,0)</f>
        <v>Acute</v>
      </c>
      <c r="K45" s="5" t="s">
        <v>192</v>
      </c>
      <c r="L45" s="6">
        <f>IF(SUMIFS(flu_aw25[flhcw],flu_aw25[trust_code],$G45,flu_aw25[iso_week],$C45)=0,"-",SUMIFS(flu_aw25[flhcw],flu_aw25[trust_code],$G45,flu_aw25[iso_week],$C45))</f>
        <v>3046</v>
      </c>
      <c r="M45" s="6">
        <f>IF(SUMIFS(flu_aw25[cumulative_aw25_vve],flu_aw25[trust_code],$G45,flu_aw25[iso_week],$C45)=0,"-",SUMIFS(flu_aw25[cumulative_aw25_vve],flu_aw25[trust_code],$G45,flu_aw25[iso_week],$C45))</f>
        <v>1044</v>
      </c>
      <c r="N45" s="7">
        <f t="shared" si="16"/>
        <v>0.34274458305975047</v>
      </c>
      <c r="O45" s="7">
        <f>SUMIFS(flu_eng[fl_5%_target],flu_eng[trust_code],$G45)</f>
        <v>0.35087919200000001</v>
      </c>
      <c r="P45" s="6">
        <f>IFERROR(SUMIFS(flu_aw24[cumulative_aw24_vve],flu_aw24[trust_code],$G45,flu_aw24[iso_week],$E45),"-")</f>
        <v>912</v>
      </c>
      <c r="Q45" s="7">
        <f t="shared" si="17"/>
        <v>0.29940906106369009</v>
      </c>
      <c r="R45" s="6">
        <f>IFERROR(SUMIFS(flu_eng[nfl_staff],flu_eng[trust_code],$G45),"-")</f>
        <v>629</v>
      </c>
      <c r="S45" s="6">
        <f>IFERROR(SUMIFS(flu_eng[nfl_doses],flu_eng[trust_code],$G45),"-")</f>
        <v>256</v>
      </c>
      <c r="T45" s="7">
        <f t="shared" si="18"/>
        <v>0.40699523052464232</v>
      </c>
      <c r="U45" s="2">
        <f t="shared" si="19"/>
        <v>29</v>
      </c>
      <c r="W45" s="2">
        <v>28</v>
      </c>
      <c r="Y45" s="5" t="str">
        <f t="shared" si="6"/>
        <v>CNWL</v>
      </c>
      <c r="Z45" s="6">
        <f t="shared" si="20"/>
        <v>5870</v>
      </c>
      <c r="AA45" s="6">
        <f t="shared" si="21"/>
        <v>2018</v>
      </c>
      <c r="AB45" s="7">
        <f t="shared" si="22"/>
        <v>0.34378194207836454</v>
      </c>
      <c r="AC45" s="6">
        <f t="shared" si="23"/>
        <v>3852</v>
      </c>
      <c r="AD45" s="7">
        <f t="shared" si="24"/>
        <v>0.29659284497444632</v>
      </c>
      <c r="AE45" s="7">
        <f t="shared" si="25"/>
        <v>4.7189097103918221E-2</v>
      </c>
      <c r="AF45" s="6">
        <f t="shared" si="26"/>
        <v>2305</v>
      </c>
      <c r="AG45" s="6">
        <f t="shared" si="27"/>
        <v>945</v>
      </c>
      <c r="AH45" s="7">
        <f t="shared" si="28"/>
        <v>0.40997830802603036</v>
      </c>
      <c r="AI45" s="23"/>
      <c r="AJ45" s="30">
        <f t="shared" si="29"/>
        <v>0.25621805792163543</v>
      </c>
      <c r="AK45" s="28">
        <f t="shared" si="7"/>
        <v>1504</v>
      </c>
      <c r="AM45" s="5" t="str">
        <f t="shared" si="8"/>
        <v>Hillingdon</v>
      </c>
      <c r="AN45" s="6">
        <f t="shared" si="9"/>
        <v>3046</v>
      </c>
      <c r="AO45" s="6">
        <f t="shared" si="10"/>
        <v>1044</v>
      </c>
      <c r="AP45" s="7">
        <f t="shared" si="11"/>
        <v>0.34274458305975047</v>
      </c>
      <c r="AQ45" s="6">
        <f t="shared" si="30"/>
        <v>2002</v>
      </c>
      <c r="AR45" s="7">
        <f t="shared" si="31"/>
        <v>0.29940906106369009</v>
      </c>
      <c r="AS45" s="7">
        <f t="shared" si="32"/>
        <v>4.3335521996060389E-2</v>
      </c>
      <c r="AT45" s="6">
        <f t="shared" si="33"/>
        <v>629</v>
      </c>
      <c r="AU45" s="6">
        <f t="shared" si="34"/>
        <v>256</v>
      </c>
      <c r="AV45" s="7">
        <f t="shared" si="35"/>
        <v>0.40699523052464232</v>
      </c>
      <c r="AW45" s="23"/>
      <c r="AX45" s="30">
        <f t="shared" si="36"/>
        <v>0.2572554169402495</v>
      </c>
      <c r="AY45" s="28">
        <f t="shared" si="37"/>
        <v>783.59999999999991</v>
      </c>
    </row>
    <row r="46" spans="2:51" x14ac:dyDescent="0.35">
      <c r="B46" s="79">
        <f>_xlfn.MAXIFS(flu_aw25[week],flu_aw25[trust_code],$G46)</f>
        <v>46076</v>
      </c>
      <c r="C46" s="2">
        <f>VLOOKUP($B46,flu_aw25[[week]:[iso_week]],2,0)</f>
        <v>9</v>
      </c>
      <c r="D46" s="79">
        <f>_xlfn.MAXIFS(flu_aw24[week],flu_aw24[trust_code],$G46)</f>
        <v>45726</v>
      </c>
      <c r="E46" s="2">
        <f>VLOOKUP($D46,flu_aw24[[week]:[iso_week]],2,0)</f>
        <v>11</v>
      </c>
      <c r="G46" s="5" t="s">
        <v>179</v>
      </c>
      <c r="H46" s="5" t="s">
        <v>180</v>
      </c>
      <c r="I46" s="5" t="s">
        <v>181</v>
      </c>
      <c r="J46" s="5" t="str">
        <f>VLOOKUP($G46,trust_lookup[],4,0)</f>
        <v>Specialist</v>
      </c>
      <c r="K46" s="5" t="s">
        <v>194</v>
      </c>
      <c r="L46" s="6">
        <f>IF(SUMIFS(flu_aw25[flhcw],flu_aw25[trust_code],$G46,flu_aw25[iso_week],$C46)=0,"-",SUMIFS(flu_aw25[flhcw],flu_aw25[trust_code],$G46,flu_aw25[iso_week],$C46))</f>
        <v>3394</v>
      </c>
      <c r="M46" s="6">
        <f>IF(SUMIFS(flu_aw25[cumulative_aw25_vve],flu_aw25[trust_code],$G46,flu_aw25[iso_week],$C46)=0,"-",SUMIFS(flu_aw25[cumulative_aw25_vve],flu_aw25[trust_code],$G46,flu_aw25[iso_week],$C46))</f>
        <v>1578</v>
      </c>
      <c r="N46" s="7">
        <f t="shared" si="16"/>
        <v>0.46493812610489099</v>
      </c>
      <c r="O46" s="7">
        <f>SUMIFS(flu_eng[fl_5%_target],flu_eng[trust_code],$G46)</f>
        <v>0.483480454</v>
      </c>
      <c r="P46" s="6">
        <f>IFERROR(SUMIFS(flu_aw24[cumulative_aw24_vve],flu_aw24[trust_code],$G46,flu_aw24[iso_week],$E46),"-")</f>
        <v>1412</v>
      </c>
      <c r="Q46" s="7">
        <f t="shared" si="17"/>
        <v>0.41602828520919272</v>
      </c>
      <c r="R46" s="6">
        <f>IFERROR(SUMIFS(flu_eng[nfl_staff],flu_eng[trust_code],$G46),"-")</f>
        <v>1538</v>
      </c>
      <c r="S46" s="6">
        <f>IFERROR(SUMIFS(flu_eng[nfl_doses],flu_eng[trust_code],$G46),"-")</f>
        <v>603</v>
      </c>
      <c r="T46" s="7">
        <f t="shared" si="18"/>
        <v>0.39206762028608583</v>
      </c>
      <c r="U46" s="2">
        <f t="shared" si="19"/>
        <v>4</v>
      </c>
      <c r="W46" s="2">
        <v>29</v>
      </c>
      <c r="Y46" s="5" t="str">
        <f t="shared" si="6"/>
        <v>Hillingdon</v>
      </c>
      <c r="Z46" s="6">
        <f t="shared" si="20"/>
        <v>3046</v>
      </c>
      <c r="AA46" s="6">
        <f t="shared" si="21"/>
        <v>1044</v>
      </c>
      <c r="AB46" s="7">
        <f t="shared" si="22"/>
        <v>0.34274458305975047</v>
      </c>
      <c r="AC46" s="6">
        <f t="shared" si="23"/>
        <v>2002</v>
      </c>
      <c r="AD46" s="7">
        <f t="shared" si="24"/>
        <v>0.29940906106369009</v>
      </c>
      <c r="AE46" s="7">
        <f t="shared" si="25"/>
        <v>4.3335521996060389E-2</v>
      </c>
      <c r="AF46" s="6">
        <f t="shared" si="26"/>
        <v>629</v>
      </c>
      <c r="AG46" s="6">
        <f t="shared" si="27"/>
        <v>256</v>
      </c>
      <c r="AH46" s="7">
        <f t="shared" si="28"/>
        <v>0.40699523052464232</v>
      </c>
      <c r="AI46" s="23"/>
      <c r="AJ46" s="30">
        <f t="shared" si="29"/>
        <v>0.2572554169402495</v>
      </c>
      <c r="AK46" s="28">
        <f t="shared" si="7"/>
        <v>783.59999999999991</v>
      </c>
      <c r="AM46" s="5" t="str">
        <f t="shared" si="8"/>
        <v>Marsden</v>
      </c>
      <c r="AN46" s="6">
        <f t="shared" si="9"/>
        <v>3394</v>
      </c>
      <c r="AO46" s="6">
        <f t="shared" si="10"/>
        <v>1578</v>
      </c>
      <c r="AP46" s="7">
        <f t="shared" si="11"/>
        <v>0.46493812610489099</v>
      </c>
      <c r="AQ46" s="6">
        <f t="shared" si="30"/>
        <v>1816</v>
      </c>
      <c r="AR46" s="7">
        <f t="shared" si="31"/>
        <v>0.41602828520919272</v>
      </c>
      <c r="AS46" s="7">
        <f t="shared" si="32"/>
        <v>4.8909840895698276E-2</v>
      </c>
      <c r="AT46" s="6">
        <f t="shared" si="33"/>
        <v>1538</v>
      </c>
      <c r="AU46" s="6">
        <f t="shared" si="34"/>
        <v>603</v>
      </c>
      <c r="AV46" s="7">
        <f t="shared" si="35"/>
        <v>0.39206762028608583</v>
      </c>
      <c r="AW46" s="23"/>
      <c r="AX46" s="30">
        <f t="shared" si="36"/>
        <v>0.13506187389510899</v>
      </c>
      <c r="AY46" s="28">
        <f t="shared" si="37"/>
        <v>458.39999999999986</v>
      </c>
    </row>
    <row r="47" spans="2:51" x14ac:dyDescent="0.35">
      <c r="B47" s="79">
        <f>_xlfn.MAXIFS(flu_aw25[week],flu_aw25[trust_code],$G47)</f>
        <v>46076</v>
      </c>
      <c r="C47" s="2">
        <f>VLOOKUP($B47,flu_aw25[[week]:[iso_week]],2,0)</f>
        <v>9</v>
      </c>
      <c r="D47" s="79">
        <f>_xlfn.MAXIFS(flu_aw24[week],flu_aw24[trust_code],$G47)</f>
        <v>45719</v>
      </c>
      <c r="E47" s="2">
        <f>VLOOKUP($D47,flu_aw24[[week]:[iso_week]],2,0)</f>
        <v>10</v>
      </c>
      <c r="G47" s="5" t="s">
        <v>182</v>
      </c>
      <c r="H47" s="5" t="s">
        <v>183</v>
      </c>
      <c r="I47" s="5" t="s">
        <v>184</v>
      </c>
      <c r="J47" s="5" t="str">
        <f>VLOOKUP($G47,trust_lookup[],4,0)</f>
        <v>Acute</v>
      </c>
      <c r="K47" s="5" t="s">
        <v>27</v>
      </c>
      <c r="L47" s="6">
        <f>IF(SUMIFS(flu_aw25[flhcw],flu_aw25[trust_code],$G47,flu_aw25[iso_week],$C47)=0,"-",SUMIFS(flu_aw25[flhcw],flu_aw25[trust_code],$G47,flu_aw25[iso_week],$C47))</f>
        <v>8259</v>
      </c>
      <c r="M47" s="6">
        <f>IF(SUMIFS(flu_aw25[cumulative_aw25_vve],flu_aw25[trust_code],$G47,flu_aw25[iso_week],$C47)=0,"-",SUMIFS(flu_aw25[cumulative_aw25_vve],flu_aw25[trust_code],$G47,flu_aw25[iso_week],$C47))</f>
        <v>3646</v>
      </c>
      <c r="N47" s="7">
        <f t="shared" si="16"/>
        <v>0.44145780360818498</v>
      </c>
      <c r="O47" s="7">
        <f>SUMIFS(flu_eng[fl_5%_target],flu_eng[trust_code],$G47)</f>
        <v>0.445920969</v>
      </c>
      <c r="P47" s="6">
        <f>IFERROR(SUMIFS(flu_aw24[cumulative_aw24_vve],flu_aw24[trust_code],$G47,flu_aw24[iso_week],$E47),"-")</f>
        <v>3205</v>
      </c>
      <c r="Q47" s="7">
        <f t="shared" si="17"/>
        <v>0.38806150865722244</v>
      </c>
      <c r="R47" s="6">
        <f>IFERROR(SUMIFS(flu_eng[nfl_staff],flu_eng[trust_code],$G47),"-")</f>
        <v>2981</v>
      </c>
      <c r="S47" s="6">
        <f>IFERROR(SUMIFS(flu_eng[nfl_doses],flu_eng[trust_code],$G47),"-")</f>
        <v>997</v>
      </c>
      <c r="T47" s="7">
        <f t="shared" si="18"/>
        <v>0.33445152633344516</v>
      </c>
      <c r="U47" s="2">
        <f t="shared" si="19"/>
        <v>10</v>
      </c>
      <c r="W47" s="2">
        <v>30</v>
      </c>
      <c r="Y47" s="5" t="str">
        <f t="shared" si="6"/>
        <v>NELFT</v>
      </c>
      <c r="Z47" s="6">
        <f t="shared" si="20"/>
        <v>6076</v>
      </c>
      <c r="AA47" s="6">
        <f t="shared" si="21"/>
        <v>1987</v>
      </c>
      <c r="AB47" s="7">
        <f t="shared" si="22"/>
        <v>0.32702435813034891</v>
      </c>
      <c r="AC47" s="6">
        <f t="shared" si="23"/>
        <v>4089</v>
      </c>
      <c r="AD47" s="7">
        <f t="shared" si="24"/>
        <v>0.28966425279789337</v>
      </c>
      <c r="AE47" s="7">
        <f t="shared" si="25"/>
        <v>3.736010533245554E-2</v>
      </c>
      <c r="AF47" s="6">
        <f t="shared" si="26"/>
        <v>1488</v>
      </c>
      <c r="AG47" s="6">
        <f t="shared" si="27"/>
        <v>539</v>
      </c>
      <c r="AH47" s="7">
        <f t="shared" si="28"/>
        <v>0.36223118279569894</v>
      </c>
      <c r="AI47" s="23"/>
      <c r="AJ47" s="30">
        <f t="shared" si="29"/>
        <v>0.27297564186965106</v>
      </c>
      <c r="AK47" s="28">
        <f t="shared" si="7"/>
        <v>1658.6</v>
      </c>
      <c r="AM47" s="5" t="str">
        <f t="shared" si="8"/>
        <v>UCLH</v>
      </c>
      <c r="AN47" s="6">
        <f t="shared" si="9"/>
        <v>8259</v>
      </c>
      <c r="AO47" s="6">
        <f t="shared" si="10"/>
        <v>3646</v>
      </c>
      <c r="AP47" s="7">
        <f t="shared" si="11"/>
        <v>0.44145780360818498</v>
      </c>
      <c r="AQ47" s="6">
        <f t="shared" si="30"/>
        <v>4613</v>
      </c>
      <c r="AR47" s="7">
        <f t="shared" si="31"/>
        <v>0.38806150865722244</v>
      </c>
      <c r="AS47" s="7">
        <f t="shared" si="32"/>
        <v>5.3396294950962542E-2</v>
      </c>
      <c r="AT47" s="6">
        <f t="shared" si="33"/>
        <v>2981</v>
      </c>
      <c r="AU47" s="6">
        <f t="shared" si="34"/>
        <v>997</v>
      </c>
      <c r="AV47" s="7">
        <f t="shared" si="35"/>
        <v>0.33445152633344516</v>
      </c>
      <c r="AW47" s="23"/>
      <c r="AX47" s="30">
        <f t="shared" si="36"/>
        <v>0.15854219639181499</v>
      </c>
      <c r="AY47" s="28">
        <f t="shared" si="37"/>
        <v>1309.3999999999996</v>
      </c>
    </row>
    <row r="48" spans="2:51" x14ac:dyDescent="0.35">
      <c r="B48" s="79">
        <f>_xlfn.MAXIFS(flu_aw25[week],flu_aw25[trust_code],$G48)</f>
        <v>46076</v>
      </c>
      <c r="C48" s="2">
        <f>VLOOKUP($B48,flu_aw25[[week]:[iso_week]],2,0)</f>
        <v>9</v>
      </c>
      <c r="D48" s="79">
        <f>_xlfn.MAXIFS(flu_aw24[week],flu_aw24[trust_code],$G48)</f>
        <v>45733</v>
      </c>
      <c r="E48" s="2">
        <f>VLOOKUP($D48,flu_aw24[[week]:[iso_week]],2,0)</f>
        <v>12</v>
      </c>
      <c r="G48" s="5" t="s">
        <v>187</v>
      </c>
      <c r="H48" s="5" t="s">
        <v>188</v>
      </c>
      <c r="I48" s="5" t="s">
        <v>189</v>
      </c>
      <c r="J48" s="5" t="str">
        <f>VLOOKUP($G48,trust_lookup[],4,0)</f>
        <v>Mental Health &amp; Community</v>
      </c>
      <c r="K48" s="5" t="s">
        <v>192</v>
      </c>
      <c r="L48" s="6">
        <f>IF(SUMIFS(flu_aw25[flhcw],flu_aw25[trust_code],$G48,flu_aw25[iso_week],$C48)=0,"-",SUMIFS(flu_aw25[flhcw],flu_aw25[trust_code],$G48,flu_aw25[iso_week],$C48))</f>
        <v>4258</v>
      </c>
      <c r="M48" s="6">
        <f>IF(SUMIFS(flu_aw25[cumulative_aw25_vve],flu_aw25[trust_code],$G48,flu_aw25[iso_week],$C48)=0,"-",SUMIFS(flu_aw25[cumulative_aw25_vve],flu_aw25[trust_code],$G48,flu_aw25[iso_week],$C48))</f>
        <v>1477</v>
      </c>
      <c r="N48" s="7">
        <f t="shared" si="16"/>
        <v>0.3468764678252701</v>
      </c>
      <c r="O48" s="7">
        <f>SUMIFS(flu_eng[fl_5%_target],flu_eng[trust_code],$G48)</f>
        <v>0.35353606799999998</v>
      </c>
      <c r="P48" s="6">
        <f>IFERROR(SUMIFS(flu_aw24[cumulative_aw24_vve],flu_aw24[trust_code],$G48,flu_aw24[iso_week],$E48),"-")</f>
        <v>1246</v>
      </c>
      <c r="Q48" s="7">
        <f t="shared" si="17"/>
        <v>0.29262564584311884</v>
      </c>
      <c r="R48" s="6">
        <f>IFERROR(SUMIFS(flu_eng[nfl_staff],flu_eng[trust_code],$G48),"-")</f>
        <v>1270</v>
      </c>
      <c r="S48" s="6">
        <f>IFERROR(SUMIFS(flu_eng[nfl_doses],flu_eng[trust_code],$G48),"-")</f>
        <v>464</v>
      </c>
      <c r="T48" s="7">
        <f t="shared" si="18"/>
        <v>0.36535433070866141</v>
      </c>
      <c r="U48" s="2">
        <f t="shared" si="19"/>
        <v>26</v>
      </c>
      <c r="W48" s="2">
        <v>31</v>
      </c>
      <c r="Y48" s="5" t="str">
        <f t="shared" si="6"/>
        <v>ELFT</v>
      </c>
      <c r="Z48" s="6">
        <f t="shared" si="20"/>
        <v>7143</v>
      </c>
      <c r="AA48" s="6">
        <f t="shared" si="21"/>
        <v>2296</v>
      </c>
      <c r="AB48" s="7">
        <f t="shared" si="22"/>
        <v>0.32143357132857342</v>
      </c>
      <c r="AC48" s="6">
        <f t="shared" si="23"/>
        <v>4847</v>
      </c>
      <c r="AD48" s="7">
        <f t="shared" si="24"/>
        <v>0.2643147137057259</v>
      </c>
      <c r="AE48" s="7">
        <f t="shared" si="25"/>
        <v>5.7118857622847519E-2</v>
      </c>
      <c r="AF48" s="6">
        <f t="shared" si="26"/>
        <v>1629</v>
      </c>
      <c r="AG48" s="6">
        <f t="shared" si="27"/>
        <v>524</v>
      </c>
      <c r="AH48" s="7">
        <f t="shared" si="28"/>
        <v>0.32166973603437693</v>
      </c>
      <c r="AI48" s="23"/>
      <c r="AJ48" s="30">
        <f t="shared" si="29"/>
        <v>0.27856642867142656</v>
      </c>
      <c r="AK48" s="28">
        <f t="shared" si="7"/>
        <v>1989.8000000000002</v>
      </c>
      <c r="AM48" s="5" t="str">
        <f t="shared" si="8"/>
        <v>West London</v>
      </c>
      <c r="AN48" s="6">
        <f t="shared" si="9"/>
        <v>4258</v>
      </c>
      <c r="AO48" s="6">
        <f t="shared" si="10"/>
        <v>1477</v>
      </c>
      <c r="AP48" s="7">
        <f t="shared" si="11"/>
        <v>0.3468764678252701</v>
      </c>
      <c r="AQ48" s="6">
        <f t="shared" si="30"/>
        <v>2781</v>
      </c>
      <c r="AR48" s="7">
        <f t="shared" si="31"/>
        <v>0.29262564584311884</v>
      </c>
      <c r="AS48" s="7">
        <f t="shared" si="32"/>
        <v>5.4250821982151254E-2</v>
      </c>
      <c r="AT48" s="6">
        <f t="shared" si="33"/>
        <v>1270</v>
      </c>
      <c r="AU48" s="6">
        <f t="shared" si="34"/>
        <v>464</v>
      </c>
      <c r="AV48" s="7">
        <f t="shared" si="35"/>
        <v>0.36535433070866141</v>
      </c>
      <c r="AW48" s="23"/>
      <c r="AX48" s="30">
        <f t="shared" si="36"/>
        <v>0.25312353217472988</v>
      </c>
      <c r="AY48" s="28">
        <f t="shared" si="37"/>
        <v>1077.7999999999997</v>
      </c>
    </row>
    <row r="49" spans="2:51" x14ac:dyDescent="0.35">
      <c r="B49" s="79">
        <f>_xlfn.MAXIFS(flu_aw25[week],flu_aw25[trust_code],$G49)</f>
        <v>46076</v>
      </c>
      <c r="C49" s="2">
        <f>VLOOKUP($B49,flu_aw25[[week]:[iso_week]],2,0)</f>
        <v>9</v>
      </c>
      <c r="D49" s="79">
        <f>_xlfn.MAXIFS(flu_aw24[week],flu_aw24[trust_code],$G49)</f>
        <v>45719</v>
      </c>
      <c r="E49" s="2">
        <f>VLOOKUP($D49,flu_aw24[[week]:[iso_week]],2,0)</f>
        <v>10</v>
      </c>
      <c r="G49" s="5" t="s">
        <v>185</v>
      </c>
      <c r="H49" s="5" t="s">
        <v>186</v>
      </c>
      <c r="I49" s="5" t="s">
        <v>191</v>
      </c>
      <c r="J49" s="5" t="str">
        <f>VLOOKUP($G49,trust_lookup[],4,0)</f>
        <v>Acute &amp; Community</v>
      </c>
      <c r="K49" s="5" t="s">
        <v>27</v>
      </c>
      <c r="L49" s="6">
        <f>IF(SUMIFS(flu_aw25[flhcw],flu_aw25[trust_code],$G49,flu_aw25[iso_week],$C49)=0,"-",SUMIFS(flu_aw25[flhcw],flu_aw25[trust_code],$G49,flu_aw25[iso_week],$C49))</f>
        <v>2969</v>
      </c>
      <c r="M49" s="6">
        <f>IF(SUMIFS(flu_aw25[cumulative_aw25_vve],flu_aw25[trust_code],$G49,flu_aw25[iso_week],$C49)=0,"-",SUMIFS(flu_aw25[cumulative_aw25_vve],flu_aw25[trust_code],$G49,flu_aw25[iso_week],$C49))</f>
        <v>1185</v>
      </c>
      <c r="N49" s="7">
        <f t="shared" si="16"/>
        <v>0.39912428427079827</v>
      </c>
      <c r="O49" s="7">
        <f>SUMIFS(flu_eng[fl_5%_target],flu_eng[trust_code],$G49)</f>
        <v>0.39853195199999902</v>
      </c>
      <c r="P49" s="6">
        <f>IFERROR(SUMIFS(flu_aw24[cumulative_aw24_vve],flu_aw24[trust_code],$G49,flu_aw24[iso_week],$E49),"-")</f>
        <v>1027</v>
      </c>
      <c r="Q49" s="7">
        <f t="shared" si="17"/>
        <v>0.34590771303469181</v>
      </c>
      <c r="R49" s="6">
        <f>IFERROR(SUMIFS(flu_eng[nfl_staff],flu_eng[trust_code],$G49),"-")</f>
        <v>1632</v>
      </c>
      <c r="S49" s="6">
        <f>IFERROR(SUMIFS(flu_eng[nfl_doses],flu_eng[trust_code],$G49),"-")</f>
        <v>519</v>
      </c>
      <c r="T49" s="7">
        <f t="shared" si="18"/>
        <v>0.31801470588235292</v>
      </c>
      <c r="U49" s="2">
        <f t="shared" si="19"/>
        <v>17</v>
      </c>
      <c r="W49" s="2">
        <v>32</v>
      </c>
      <c r="Y49" s="5" t="str">
        <f t="shared" si="6"/>
        <v>North London</v>
      </c>
      <c r="Z49" s="6">
        <f t="shared" si="20"/>
        <v>5165</v>
      </c>
      <c r="AA49" s="6">
        <f t="shared" si="21"/>
        <v>1652</v>
      </c>
      <c r="AB49" s="7">
        <f t="shared" si="22"/>
        <v>0.31984511132623428</v>
      </c>
      <c r="AC49" s="6">
        <f t="shared" si="23"/>
        <v>3513</v>
      </c>
      <c r="AD49" s="7">
        <f t="shared" si="24"/>
        <v>0.24007744433688286</v>
      </c>
      <c r="AE49" s="7">
        <f t="shared" si="25"/>
        <v>7.9767666989351421E-2</v>
      </c>
      <c r="AF49" s="6">
        <f t="shared" si="26"/>
        <v>1089</v>
      </c>
      <c r="AG49" s="6">
        <f t="shared" si="27"/>
        <v>328</v>
      </c>
      <c r="AH49" s="7">
        <f t="shared" si="28"/>
        <v>0.30119375573921031</v>
      </c>
      <c r="AI49" s="23"/>
      <c r="AJ49" s="30">
        <f t="shared" si="29"/>
        <v>0.2801548886737657</v>
      </c>
      <c r="AK49" s="28">
        <f t="shared" si="7"/>
        <v>1447</v>
      </c>
      <c r="AM49" s="5" t="str">
        <f t="shared" si="8"/>
        <v>Whittington</v>
      </c>
      <c r="AN49" s="6">
        <f t="shared" si="9"/>
        <v>2969</v>
      </c>
      <c r="AO49" s="6">
        <f t="shared" si="10"/>
        <v>1185</v>
      </c>
      <c r="AP49" s="7">
        <f t="shared" si="11"/>
        <v>0.39912428427079827</v>
      </c>
      <c r="AQ49" s="6">
        <f t="shared" si="30"/>
        <v>1784</v>
      </c>
      <c r="AR49" s="7">
        <f t="shared" si="31"/>
        <v>0.34590771303469181</v>
      </c>
      <c r="AS49" s="7">
        <f t="shared" si="32"/>
        <v>5.3216571236106458E-2</v>
      </c>
      <c r="AT49" s="6">
        <f t="shared" si="33"/>
        <v>1632</v>
      </c>
      <c r="AU49" s="6">
        <f t="shared" si="34"/>
        <v>519</v>
      </c>
      <c r="AV49" s="7">
        <f t="shared" si="35"/>
        <v>0.31801470588235292</v>
      </c>
      <c r="AW49" s="23"/>
      <c r="AX49" s="30">
        <f t="shared" si="36"/>
        <v>0.20087571572920171</v>
      </c>
      <c r="AY49" s="28">
        <f t="shared" si="37"/>
        <v>596.39999999999986</v>
      </c>
    </row>
    <row r="52" spans="2:51" ht="29.15" customHeight="1" x14ac:dyDescent="0.35"/>
    <row r="63" spans="2:51" ht="29.15" customHeight="1" x14ac:dyDescent="0.35"/>
  </sheetData>
  <mergeCells count="1">
    <mergeCell ref="Y4:AA4"/>
  </mergeCells>
  <conditionalFormatting sqref="AB9:AB13">
    <cfRule type="colorScale" priority="13">
      <colorScale>
        <cfvo type="min"/>
        <cfvo type="max"/>
        <color rgb="FFFFEF9C"/>
        <color rgb="FF63BE7B"/>
      </colorScale>
    </cfRule>
  </conditionalFormatting>
  <conditionalFormatting sqref="AB18:AB49">
    <cfRule type="colorScale" priority="14">
      <colorScale>
        <cfvo type="min"/>
        <cfvo type="max"/>
        <color rgb="FFFFEF9C"/>
        <color rgb="FF63BE7B"/>
      </colorScale>
    </cfRule>
  </conditionalFormatting>
  <conditionalFormatting sqref="AD9:AD13">
    <cfRule type="colorScale" priority="11">
      <colorScale>
        <cfvo type="min"/>
        <cfvo type="max"/>
        <color rgb="FFFFEF9C"/>
        <color rgb="FF63BE7B"/>
      </colorScale>
    </cfRule>
  </conditionalFormatting>
  <conditionalFormatting sqref="AD18:AD49">
    <cfRule type="colorScale" priority="8">
      <colorScale>
        <cfvo type="min"/>
        <cfvo type="max"/>
        <color rgb="FFFFEF9C"/>
        <color rgb="FF63BE7B"/>
      </colorScale>
    </cfRule>
  </conditionalFormatting>
  <conditionalFormatting sqref="AE9:AE14 AE18:AE49 AS18:AS49">
    <cfRule type="cellIs" dxfId="19" priority="4" operator="greaterThanOrEqual">
      <formula>5%</formula>
    </cfRule>
    <cfRule type="cellIs" dxfId="18" priority="5" operator="between">
      <formula>0%</formula>
      <formula>5%</formula>
    </cfRule>
    <cfRule type="cellIs" dxfId="17" priority="6" operator="lessThan">
      <formula>0%</formula>
    </cfRule>
  </conditionalFormatting>
  <conditionalFormatting sqref="AP18:AP49">
    <cfRule type="colorScale" priority="12">
      <colorScale>
        <cfvo type="min"/>
        <cfvo type="max"/>
        <color rgb="FFFFEF9C"/>
        <color rgb="FF63BE7B"/>
      </colorScale>
    </cfRule>
  </conditionalFormatting>
  <conditionalFormatting sqref="AR18:AR49">
    <cfRule type="colorScale" priority="7">
      <colorScale>
        <cfvo type="min"/>
        <cfvo type="max"/>
        <color rgb="FFFFEF9C"/>
        <color rgb="FF63BE7B"/>
      </colorScale>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7C23A-025B-4D0F-9B62-1D6C78CEE965}">
  <sheetPr>
    <tabColor theme="7"/>
  </sheetPr>
  <dimension ref="B2:AX63"/>
  <sheetViews>
    <sheetView showGridLines="0" zoomScale="90" zoomScaleNormal="90" workbookViewId="0"/>
  </sheetViews>
  <sheetFormatPr defaultColWidth="8.54296875" defaultRowHeight="14.5" outlineLevelCol="1" x14ac:dyDescent="0.35"/>
  <cols>
    <col min="1" max="1" width="8.54296875" style="2"/>
    <col min="2" max="2" width="10.81640625" style="2" hidden="1" customWidth="1" outlineLevel="1"/>
    <col min="3" max="3" width="71.54296875" style="2" hidden="1" customWidth="1" outlineLevel="1"/>
    <col min="4" max="6" width="12.54296875" style="2" hidden="1" customWidth="1" outlineLevel="1"/>
    <col min="7" max="15" width="15.54296875" style="2" hidden="1" customWidth="1" outlineLevel="1"/>
    <col min="16" max="19" width="8.81640625" style="2" hidden="1" customWidth="1" outlineLevel="1"/>
    <col min="20" max="20" width="14" style="2" customWidth="1" collapsed="1"/>
    <col min="21" max="29" width="11.54296875" style="2" customWidth="1"/>
    <col min="30" max="30" width="0.81640625" style="2" customWidth="1"/>
    <col min="31" max="32" width="11.54296875" style="2" customWidth="1"/>
    <col min="33" max="33" width="2.81640625" style="2" customWidth="1"/>
    <col min="34" max="34" width="21.54296875" style="2" customWidth="1"/>
    <col min="35" max="43" width="11.54296875" style="2" customWidth="1"/>
    <col min="44" max="44" width="0.81640625" style="2" customWidth="1"/>
    <col min="45" max="46" width="11.54296875" style="2" customWidth="1"/>
    <col min="47" max="47" width="2.81640625" style="2" customWidth="1"/>
    <col min="48" max="50" width="11.54296875" style="2" customWidth="1"/>
    <col min="51" max="16384" width="8.54296875" style="2"/>
  </cols>
  <sheetData>
    <row r="2" spans="19:48" ht="26" x14ac:dyDescent="0.6">
      <c r="T2" s="11" t="s">
        <v>628</v>
      </c>
    </row>
    <row r="4" spans="19:48" x14ac:dyDescent="0.35">
      <c r="T4" s="81" t="s">
        <v>641</v>
      </c>
      <c r="U4" s="82"/>
      <c r="V4" s="83"/>
      <c r="X4" s="3"/>
    </row>
    <row r="5" spans="19:48" ht="29" x14ac:dyDescent="0.35">
      <c r="T5" s="45" t="s">
        <v>552</v>
      </c>
      <c r="U5" s="45" t="s">
        <v>553</v>
      </c>
      <c r="V5" s="45" t="s">
        <v>554</v>
      </c>
    </row>
    <row r="6" spans="19:48" x14ac:dyDescent="0.35">
      <c r="T6" s="8">
        <f>Summary!Y6</f>
        <v>9</v>
      </c>
      <c r="U6" s="51">
        <f>Summary!Z6</f>
        <v>46076</v>
      </c>
      <c r="V6" s="51">
        <f>Summary!AA6</f>
        <v>46082</v>
      </c>
    </row>
    <row r="8" spans="19:48" ht="46" customHeight="1" x14ac:dyDescent="0.35">
      <c r="T8" s="45" t="s">
        <v>544</v>
      </c>
      <c r="U8" s="45" t="s">
        <v>555</v>
      </c>
      <c r="V8" s="45" t="s">
        <v>556</v>
      </c>
      <c r="W8" s="45" t="s">
        <v>557</v>
      </c>
      <c r="X8" s="45" t="s">
        <v>558</v>
      </c>
      <c r="Y8" s="45" t="s">
        <v>559</v>
      </c>
      <c r="Z8" s="45" t="s">
        <v>560</v>
      </c>
      <c r="AA8" s="59" t="s">
        <v>561</v>
      </c>
      <c r="AB8" s="59" t="s">
        <v>562</v>
      </c>
      <c r="AC8" s="59" t="s">
        <v>563</v>
      </c>
      <c r="AD8" s="27"/>
      <c r="AE8" s="27"/>
      <c r="AF8" s="45" t="s">
        <v>564</v>
      </c>
    </row>
    <row r="9" spans="19:48" x14ac:dyDescent="0.35">
      <c r="S9" s="15"/>
      <c r="T9" s="5" t="s">
        <v>27</v>
      </c>
      <c r="U9" s="6">
        <f>SUMIFS($G$18:$G$34,$F$18:$F$34,$T9)</f>
        <v>30004</v>
      </c>
      <c r="V9" s="6">
        <f>SUMIFS($H$18:$H$34,$F$18:$F$34,$T9)</f>
        <v>11810</v>
      </c>
      <c r="W9" s="7">
        <f>IFERROR(V9/U9,"-")</f>
        <v>0.39361418477536331</v>
      </c>
      <c r="X9" s="6">
        <f>IFERROR(U9-V9,"-")</f>
        <v>18194</v>
      </c>
      <c r="Y9" s="7">
        <f>SUMIFS($K$18:$K$34,$F$18:$F$34,$T9)/SUMIFS($G$18:$G$34,$F$18:$F$34,$T9)</f>
        <v>0.33118917477669646</v>
      </c>
      <c r="Z9" s="7">
        <f>IFERROR(W9-Y9,"-")</f>
        <v>6.2425009998666847E-2</v>
      </c>
      <c r="AA9" s="6">
        <f>IFERROR(SUMIFS(flu_eng[nfl_staff],flu_eng[icb],$T9),"-")</f>
        <v>14204</v>
      </c>
      <c r="AB9" s="6">
        <f>IFERROR(SUMIFS(flu_eng[nfl_doses],flu_eng[icb],$T9),"-")</f>
        <v>5143</v>
      </c>
      <c r="AC9" s="7">
        <f>AB9/AA9</f>
        <v>0.3620811039143903</v>
      </c>
      <c r="AD9" s="23"/>
      <c r="AE9" s="23"/>
      <c r="AF9" s="52"/>
      <c r="AG9" s="55" t="s">
        <v>565</v>
      </c>
      <c r="AH9" s="54" t="s">
        <v>566</v>
      </c>
    </row>
    <row r="10" spans="19:48" x14ac:dyDescent="0.35">
      <c r="S10" s="15"/>
      <c r="T10" s="5" t="s">
        <v>190</v>
      </c>
      <c r="U10" s="6">
        <f>SUMIFS($G$18:$G$34,$F$18:$F$34,$T10)</f>
        <v>31960</v>
      </c>
      <c r="V10" s="6">
        <f>SUMIFS($H$18:$H$34,$F$18:$F$34,$T10)</f>
        <v>11797</v>
      </c>
      <c r="W10" s="7">
        <f t="shared" ref="W10:W14" si="0">IFERROR(V10/U10,"-")</f>
        <v>0.36911764705882355</v>
      </c>
      <c r="X10" s="6">
        <f t="shared" ref="X10:X14" si="1">IFERROR(U10-V10,"-")</f>
        <v>20163</v>
      </c>
      <c r="Y10" s="7">
        <f>SUMIFS($K$18:$K$34,$F$18:$F$34,$T10)/SUMIFS($G$18:$G$34,$F$18:$F$34,$T10)</f>
        <v>0.30760325406758449</v>
      </c>
      <c r="Z10" s="7">
        <f t="shared" ref="Z10:Z14" si="2">IFERROR(W10-Y10,"-")</f>
        <v>6.1514392991239064E-2</v>
      </c>
      <c r="AA10" s="6">
        <f>IFERROR(SUMIFS(flu_eng[nfl_staff],flu_eng[icb],$T10),"-")</f>
        <v>11016</v>
      </c>
      <c r="AB10" s="6">
        <f>IFERROR(SUMIFS(flu_eng[nfl_doses],flu_eng[icb],$T10),"-")</f>
        <v>3320</v>
      </c>
      <c r="AC10" s="7">
        <f t="shared" ref="AC10:AC14" si="3">AB10/AA10</f>
        <v>0.30137981118373275</v>
      </c>
      <c r="AD10" s="23"/>
      <c r="AE10" s="23"/>
      <c r="AF10" s="44"/>
      <c r="AG10" s="55" t="s">
        <v>565</v>
      </c>
      <c r="AH10" s="54" t="s">
        <v>567</v>
      </c>
    </row>
    <row r="11" spans="19:48" x14ac:dyDescent="0.35">
      <c r="S11" s="15"/>
      <c r="T11" s="5" t="s">
        <v>192</v>
      </c>
      <c r="U11" s="6">
        <f>SUMIFS($G$18:$G$34,$F$18:$F$34,$T11)</f>
        <v>23726</v>
      </c>
      <c r="V11" s="6">
        <f>SUMIFS($H$18:$H$34,$F$18:$F$34,$T11)</f>
        <v>9354</v>
      </c>
      <c r="W11" s="7">
        <f t="shared" si="0"/>
        <v>0.39425103262243949</v>
      </c>
      <c r="X11" s="6">
        <f t="shared" si="1"/>
        <v>14372</v>
      </c>
      <c r="Y11" s="7">
        <f>SUMIFS($K$18:$K$34,$F$18:$F$34,$T11)/SUMIFS($G$18:$G$34,$F$18:$F$34,$T11)</f>
        <v>0.33136643344853745</v>
      </c>
      <c r="Z11" s="7">
        <f t="shared" si="2"/>
        <v>6.2884599173902045E-2</v>
      </c>
      <c r="AA11" s="6">
        <f>IFERROR(SUMIFS(flu_eng[nfl_staff],flu_eng[icb],$T11),"-")</f>
        <v>16896</v>
      </c>
      <c r="AB11" s="6">
        <f>IFERROR(SUMIFS(flu_eng[nfl_doses],flu_eng[icb],$T11),"-")</f>
        <v>6046</v>
      </c>
      <c r="AC11" s="7">
        <f t="shared" si="3"/>
        <v>0.35783617424242425</v>
      </c>
      <c r="AD11" s="23"/>
      <c r="AE11" s="23"/>
      <c r="AF11" s="53"/>
      <c r="AG11" s="55" t="s">
        <v>565</v>
      </c>
      <c r="AH11" s="54" t="s">
        <v>568</v>
      </c>
    </row>
    <row r="12" spans="19:48" x14ac:dyDescent="0.35">
      <c r="S12" s="15"/>
      <c r="T12" s="5" t="s">
        <v>193</v>
      </c>
      <c r="U12" s="6">
        <f>SUMIFS($G$18:$G$34,$F$18:$F$34,$T12)</f>
        <v>33322</v>
      </c>
      <c r="V12" s="6">
        <f>SUMIFS($H$18:$H$34,$F$18:$F$34,$T12)</f>
        <v>14263</v>
      </c>
      <c r="W12" s="7">
        <f t="shared" si="0"/>
        <v>0.4280355320809075</v>
      </c>
      <c r="X12" s="6">
        <f t="shared" si="1"/>
        <v>19059</v>
      </c>
      <c r="Y12" s="7">
        <f>SUMIFS($K$18:$K$34,$F$18:$F$34,$T12)/SUMIFS($G$18:$G$34,$F$18:$F$34,$T12)</f>
        <v>0.34979893163675652</v>
      </c>
      <c r="Z12" s="7">
        <f t="shared" si="2"/>
        <v>7.8236600444150983E-2</v>
      </c>
      <c r="AA12" s="6">
        <f>IFERROR(SUMIFS(flu_eng[nfl_staff],flu_eng[icb],$T12),"-")</f>
        <v>17152</v>
      </c>
      <c r="AB12" s="6">
        <f>IFERROR(SUMIFS(flu_eng[nfl_doses],flu_eng[icb],$T12),"-")</f>
        <v>6063</v>
      </c>
      <c r="AC12" s="7">
        <f t="shared" si="3"/>
        <v>0.35348647388059701</v>
      </c>
      <c r="AD12" s="23"/>
      <c r="AE12" s="23"/>
      <c r="AF12" s="23"/>
    </row>
    <row r="13" spans="19:48" x14ac:dyDescent="0.35">
      <c r="S13" s="15"/>
      <c r="T13" s="5" t="s">
        <v>194</v>
      </c>
      <c r="U13" s="6">
        <f>SUMIFS($G$18:$G$34,$F$18:$F$34,$T13)</f>
        <v>19959</v>
      </c>
      <c r="V13" s="6">
        <f>SUMIFS($H$18:$H$34,$F$18:$F$34,$T13)</f>
        <v>8606</v>
      </c>
      <c r="W13" s="7">
        <f t="shared" si="0"/>
        <v>0.43118392705045344</v>
      </c>
      <c r="X13" s="6">
        <f t="shared" si="1"/>
        <v>11353</v>
      </c>
      <c r="Y13" s="7">
        <f>SUMIFS($K$18:$K$34,$F$18:$F$34,$T13)/SUMIFS($G$18:$G$34,$F$18:$F$34,$T13)</f>
        <v>0.4076356530888321</v>
      </c>
      <c r="Z13" s="7">
        <f t="shared" si="2"/>
        <v>2.3548273961621347E-2</v>
      </c>
      <c r="AA13" s="6">
        <f>IFERROR(SUMIFS(flu_eng[nfl_staff],flu_eng[icb],$T13),"-")</f>
        <v>9233</v>
      </c>
      <c r="AB13" s="6">
        <f>IFERROR(SUMIFS(flu_eng[nfl_doses],flu_eng[icb],$T13),"-")</f>
        <v>3574</v>
      </c>
      <c r="AC13" s="7">
        <f t="shared" si="3"/>
        <v>0.38708978663489657</v>
      </c>
      <c r="AD13" s="23"/>
      <c r="AE13" s="23"/>
      <c r="AF13" s="23"/>
    </row>
    <row r="14" spans="19:48" x14ac:dyDescent="0.35">
      <c r="T14" s="8" t="s">
        <v>160</v>
      </c>
      <c r="U14" s="9">
        <f>IF(SUM(U9:U13)=0,"-",SUM(U9:U13))</f>
        <v>138971</v>
      </c>
      <c r="V14" s="9">
        <f>IF(SUM(V9:V13)=0,"-",SUM(V9:V13))</f>
        <v>55830</v>
      </c>
      <c r="W14" s="10">
        <f t="shared" si="0"/>
        <v>0.40173849220340935</v>
      </c>
      <c r="X14" s="9">
        <f t="shared" si="1"/>
        <v>83141</v>
      </c>
      <c r="Y14" s="10">
        <f>IFERROR(SUM($K$18:$K$34)/$U$14,"-")</f>
        <v>0.34123666088608412</v>
      </c>
      <c r="Z14" s="7">
        <f t="shared" si="2"/>
        <v>6.0501831317325228E-2</v>
      </c>
      <c r="AA14" s="9">
        <f>SUM(AA9:AA13)</f>
        <v>68501</v>
      </c>
      <c r="AB14" s="9">
        <f>SUM(AB9:AB13)</f>
        <v>24146</v>
      </c>
      <c r="AC14" s="10">
        <f t="shared" si="3"/>
        <v>0.3524912045079634</v>
      </c>
      <c r="AD14" s="26"/>
      <c r="AE14" s="26"/>
      <c r="AF14" s="26"/>
    </row>
    <row r="16" spans="19:48" x14ac:dyDescent="0.35">
      <c r="T16" s="3" t="s">
        <v>545</v>
      </c>
      <c r="AH16" s="3" t="s">
        <v>546</v>
      </c>
      <c r="AV16" s="3" t="s">
        <v>569</v>
      </c>
    </row>
    <row r="17" spans="2:50" ht="46" customHeight="1" x14ac:dyDescent="0.35">
      <c r="B17" s="4" t="s">
        <v>18</v>
      </c>
      <c r="C17" s="4" t="s">
        <v>19</v>
      </c>
      <c r="D17" s="4" t="s">
        <v>20</v>
      </c>
      <c r="E17" s="4" t="s">
        <v>626</v>
      </c>
      <c r="F17" s="4" t="s">
        <v>544</v>
      </c>
      <c r="G17" s="4" t="s">
        <v>547</v>
      </c>
      <c r="H17" s="50" t="s">
        <v>570</v>
      </c>
      <c r="I17" s="4" t="s">
        <v>571</v>
      </c>
      <c r="J17" s="4" t="s">
        <v>548</v>
      </c>
      <c r="K17" s="50" t="s">
        <v>572</v>
      </c>
      <c r="L17" s="4" t="s">
        <v>573</v>
      </c>
      <c r="M17" s="4" t="s">
        <v>574</v>
      </c>
      <c r="N17" s="4" t="s">
        <v>575</v>
      </c>
      <c r="O17" s="4" t="s">
        <v>576</v>
      </c>
      <c r="T17" s="45" t="s">
        <v>549</v>
      </c>
      <c r="U17" s="45" t="s">
        <v>555</v>
      </c>
      <c r="V17" s="45" t="s">
        <v>556</v>
      </c>
      <c r="W17" s="45" t="s">
        <v>557</v>
      </c>
      <c r="X17" s="45" t="s">
        <v>558</v>
      </c>
      <c r="Y17" s="45" t="s">
        <v>559</v>
      </c>
      <c r="Z17" s="45" t="s">
        <v>560</v>
      </c>
      <c r="AA17" s="59" t="s">
        <v>561</v>
      </c>
      <c r="AB17" s="59" t="s">
        <v>562</v>
      </c>
      <c r="AC17" s="59" t="s">
        <v>563</v>
      </c>
      <c r="AD17" s="46"/>
      <c r="AE17" s="47" t="s">
        <v>577</v>
      </c>
      <c r="AF17" s="47" t="s">
        <v>551</v>
      </c>
      <c r="AH17" s="45" t="s">
        <v>549</v>
      </c>
      <c r="AI17" s="45" t="s">
        <v>555</v>
      </c>
      <c r="AJ17" s="45" t="s">
        <v>556</v>
      </c>
      <c r="AK17" s="45" t="s">
        <v>557</v>
      </c>
      <c r="AL17" s="45" t="s">
        <v>558</v>
      </c>
      <c r="AM17" s="45" t="s">
        <v>559</v>
      </c>
      <c r="AN17" s="45" t="s">
        <v>560</v>
      </c>
      <c r="AO17" s="59" t="s">
        <v>561</v>
      </c>
      <c r="AP17" s="59" t="s">
        <v>562</v>
      </c>
      <c r="AQ17" s="59" t="s">
        <v>563</v>
      </c>
      <c r="AR17" s="46"/>
      <c r="AS17" s="47" t="s">
        <v>577</v>
      </c>
      <c r="AT17" s="47" t="s">
        <v>551</v>
      </c>
      <c r="AV17" s="48" t="s">
        <v>552</v>
      </c>
      <c r="AW17" s="48" t="s">
        <v>578</v>
      </c>
      <c r="AX17" s="48" t="s">
        <v>579</v>
      </c>
    </row>
    <row r="18" spans="2:50" x14ac:dyDescent="0.35">
      <c r="B18" s="5" t="s">
        <v>30</v>
      </c>
      <c r="C18" s="5" t="s">
        <v>31</v>
      </c>
      <c r="D18" s="5" t="s">
        <v>32</v>
      </c>
      <c r="E18" s="5" t="str">
        <f>VLOOKUP($B18,trust_lookup[],4,0)</f>
        <v>Acute</v>
      </c>
      <c r="F18" s="5" t="s">
        <v>190</v>
      </c>
      <c r="G18" s="6">
        <f>VLOOKUP($B18,Summary!$G$18:$P$49,6,0)</f>
        <v>6933</v>
      </c>
      <c r="H18" s="6">
        <f>VLOOKUP($B18,Summary!$G$18:$P$49,7,0)</f>
        <v>2732</v>
      </c>
      <c r="I18" s="7">
        <f t="shared" ref="I18:I34" si="4">IFERROR(H18/G18,"-")</f>
        <v>0.39405740660608685</v>
      </c>
      <c r="J18" s="7">
        <f>SUMIFS(flu_eng[fl_5%_target],flu_eng[trust_code],$B18)</f>
        <v>0.48913520299999902</v>
      </c>
      <c r="K18" s="6">
        <f>VLOOKUP($B18,Summary!$G$18:$P$49,10,0)</f>
        <v>2838</v>
      </c>
      <c r="L18" s="7">
        <f t="shared" ref="L18:L34" si="5">IFERROR(K18/G18,"-")</f>
        <v>0.409346603202077</v>
      </c>
      <c r="M18" s="6">
        <f>IFERROR(SUMIFS(flu_eng[nfl_staff],flu_eng[trust_code],$B18),"-")</f>
        <v>1842</v>
      </c>
      <c r="N18" s="6">
        <f>IFERROR(SUMIFS(flu_eng[nfl_doses],flu_eng[trust_code],$B18),"-")</f>
        <v>530</v>
      </c>
      <c r="O18" s="7">
        <f t="shared" ref="O18:O34" si="6">N18/M18</f>
        <v>0.28773072747014117</v>
      </c>
      <c r="P18" s="2">
        <f t="shared" ref="P18:P34" si="7">IFERROR(_xlfn.RANK.EQ(I18,$I$18:$I$34,0),"")</f>
        <v>12</v>
      </c>
      <c r="R18" s="2">
        <v>1</v>
      </c>
      <c r="T18" s="5" t="str">
        <f t="shared" ref="T18:T34" si="8">IFERROR(INDEX(D$18:D$34,MATCH($R18,$P$18:$P$34,0)),"-")</f>
        <v>K&amp;R FT</v>
      </c>
      <c r="U18" s="6">
        <f t="shared" ref="U18:U34" si="9">IFERROR(INDEX(G$18:G$34,MATCH($R18,$P$18:$P$34,0)),"-")</f>
        <v>3808</v>
      </c>
      <c r="V18" s="6">
        <f t="shared" ref="V18:V34" si="10">IFERROR(INDEX(H$18:H$34,MATCH($R18,$P$18:$P$34,0)),"-")</f>
        <v>1766</v>
      </c>
      <c r="W18" s="7">
        <f>IFERROR(V18/U18,"-")</f>
        <v>0.46376050420168069</v>
      </c>
      <c r="X18" s="6">
        <f>IFERROR(U18-V18,"-")</f>
        <v>2042</v>
      </c>
      <c r="Y18" s="7">
        <f t="shared" ref="Y18:Y34" si="11">IFERROR(INDEX(L$18:L$34,MATCH($R18,$P$18:$P$34,0)),"-")</f>
        <v>0.43198529411764708</v>
      </c>
      <c r="Z18" s="7">
        <f>IFERROR(W18-Y18,"-")</f>
        <v>3.1775210084033612E-2</v>
      </c>
      <c r="AA18" s="6">
        <f t="shared" ref="AA18:AA34" si="12">IFERROR(INDEX(M$18:M$34,MATCH($R18,$P$18:$P$34,0)),"-")</f>
        <v>1128</v>
      </c>
      <c r="AB18" s="6">
        <f t="shared" ref="AB18:AB34" si="13">IFERROR(INDEX(N$18:N$34,MATCH($R18,$P$18:$P$34,0)),"-")</f>
        <v>470</v>
      </c>
      <c r="AC18" s="7">
        <f>IFERROR(AB18/AA18,"-")</f>
        <v>0.41666666666666669</v>
      </c>
      <c r="AD18" s="23"/>
      <c r="AE18" s="30">
        <f t="shared" ref="AE18:AE34" si="14">IFERROR(INDEX(J$18:J$34,MATCH($R18,$P$18:$P$34,0)),"-")</f>
        <v>0.486503719</v>
      </c>
      <c r="AF18" s="28">
        <f>IFERROR((U18*AE18)-V18,"-")</f>
        <v>86.606161952000093</v>
      </c>
      <c r="AH18" s="5" t="str">
        <f t="shared" ref="AH18:AH34" si="15">D18</f>
        <v>BHR</v>
      </c>
      <c r="AI18" s="6">
        <f t="shared" ref="AI18:AK34" si="16">G18</f>
        <v>6933</v>
      </c>
      <c r="AJ18" s="6">
        <f t="shared" si="16"/>
        <v>2732</v>
      </c>
      <c r="AK18" s="7">
        <f t="shared" si="16"/>
        <v>0.39405740660608685</v>
      </c>
      <c r="AL18" s="6">
        <f>IFERROR(AI18-AJ18,"-")</f>
        <v>4201</v>
      </c>
      <c r="AM18" s="7">
        <f>L18</f>
        <v>0.409346603202077</v>
      </c>
      <c r="AN18" s="7">
        <f>IFERROR(AK18-AM18,"-")</f>
        <v>-1.5289196595990151E-2</v>
      </c>
      <c r="AO18" s="6">
        <f t="shared" ref="AO18:AQ33" si="17">M18</f>
        <v>1842</v>
      </c>
      <c r="AP18" s="6">
        <f t="shared" si="17"/>
        <v>530</v>
      </c>
      <c r="AQ18" s="7">
        <f t="shared" si="17"/>
        <v>0.28773072747014117</v>
      </c>
      <c r="AR18" s="23"/>
      <c r="AS18" s="30">
        <f>J18</f>
        <v>0.48913520299999902</v>
      </c>
      <c r="AT18" s="28">
        <f>IFERROR((AI18*AS18)-AJ18,"-")</f>
        <v>659.17436239899325</v>
      </c>
      <c r="AV18" s="6">
        <v>36</v>
      </c>
      <c r="AW18" s="49">
        <v>45901</v>
      </c>
      <c r="AX18" s="49">
        <v>45907</v>
      </c>
    </row>
    <row r="19" spans="2:50" x14ac:dyDescent="0.35">
      <c r="B19" s="5" t="s">
        <v>37</v>
      </c>
      <c r="C19" s="5" t="s">
        <v>38</v>
      </c>
      <c r="D19" s="5" t="s">
        <v>39</v>
      </c>
      <c r="E19" s="5" t="str">
        <f>VLOOKUP($B19,trust_lookup[],4,0)</f>
        <v>Acute</v>
      </c>
      <c r="F19" s="5" t="s">
        <v>190</v>
      </c>
      <c r="G19" s="6">
        <f>VLOOKUP($B19,Summary!$G$18:$P$49,6,0)</f>
        <v>21363</v>
      </c>
      <c r="H19" s="6">
        <f>VLOOKUP($B19,Summary!$G$18:$P$49,7,0)</f>
        <v>7369</v>
      </c>
      <c r="I19" s="7">
        <f t="shared" si="4"/>
        <v>0.34494218976735475</v>
      </c>
      <c r="J19" s="7">
        <f>SUMIFS(flu_eng[fl_5%_target],flu_eng[trust_code],$B19)</f>
        <v>0.321445602</v>
      </c>
      <c r="K19" s="6">
        <f>VLOOKUP($B19,Summary!$G$18:$P$49,10,0)</f>
        <v>5793</v>
      </c>
      <c r="L19" s="7">
        <f t="shared" si="5"/>
        <v>0.27116977952534754</v>
      </c>
      <c r="M19" s="6">
        <f>IFERROR(SUMIFS(flu_eng[nfl_staff],flu_eng[trust_code],$B19),"-")</f>
        <v>4748</v>
      </c>
      <c r="N19" s="6">
        <f>IFERROR(SUMIFS(flu_eng[nfl_doses],flu_eng[trust_code],$B19),"-")</f>
        <v>1319</v>
      </c>
      <c r="O19" s="7">
        <f t="shared" si="6"/>
        <v>0.27780117944397642</v>
      </c>
      <c r="P19" s="2">
        <f t="shared" si="7"/>
        <v>16</v>
      </c>
      <c r="R19" s="2">
        <v>2</v>
      </c>
      <c r="T19" s="5" t="str">
        <f t="shared" si="8"/>
        <v>King's</v>
      </c>
      <c r="U19" s="6">
        <f t="shared" si="9"/>
        <v>9605</v>
      </c>
      <c r="V19" s="6">
        <f t="shared" si="10"/>
        <v>4447</v>
      </c>
      <c r="W19" s="7">
        <f t="shared" ref="W19:W34" si="18">IFERROR(V19/U19,"-")</f>
        <v>0.46298802706923475</v>
      </c>
      <c r="X19" s="6">
        <f t="shared" ref="X19:X34" si="19">IFERROR(U19-V19,"-")</f>
        <v>5158</v>
      </c>
      <c r="Y19" s="7">
        <f t="shared" si="11"/>
        <v>0.3925039042165539</v>
      </c>
      <c r="Z19" s="7">
        <f t="shared" ref="Z19:Z34" si="20">IFERROR(W19-Y19,"-")</f>
        <v>7.0484122852680853E-2</v>
      </c>
      <c r="AA19" s="6">
        <f t="shared" si="12"/>
        <v>4895</v>
      </c>
      <c r="AB19" s="6">
        <f t="shared" si="13"/>
        <v>1530</v>
      </c>
      <c r="AC19" s="7">
        <f t="shared" ref="AC19:AC34" si="21">IFERROR(AB19/AA19,"-")</f>
        <v>0.31256384065372828</v>
      </c>
      <c r="AD19" s="23"/>
      <c r="AE19" s="30">
        <f t="shared" si="14"/>
        <v>0.45879828299999997</v>
      </c>
      <c r="AF19" s="28">
        <f t="shared" ref="AF19:AF34" si="22">IFERROR((U19*AE19)-V19,"-")</f>
        <v>-40.242491785000311</v>
      </c>
      <c r="AH19" s="5" t="str">
        <f t="shared" si="15"/>
        <v>Barts</v>
      </c>
      <c r="AI19" s="6">
        <f t="shared" si="16"/>
        <v>21363</v>
      </c>
      <c r="AJ19" s="6">
        <f t="shared" si="16"/>
        <v>7369</v>
      </c>
      <c r="AK19" s="7">
        <f t="shared" si="16"/>
        <v>0.34494218976735475</v>
      </c>
      <c r="AL19" s="6">
        <f t="shared" ref="AL19:AL34" si="23">IFERROR(AI19-AJ19,"-")</f>
        <v>13994</v>
      </c>
      <c r="AM19" s="7">
        <f t="shared" ref="AM19:AM34" si="24">L19</f>
        <v>0.27116977952534754</v>
      </c>
      <c r="AN19" s="7">
        <f t="shared" ref="AN19:AN34" si="25">IFERROR(AK19-AM19,"-")</f>
        <v>7.3772410242007203E-2</v>
      </c>
      <c r="AO19" s="6">
        <f t="shared" si="17"/>
        <v>4748</v>
      </c>
      <c r="AP19" s="6">
        <f t="shared" si="17"/>
        <v>1319</v>
      </c>
      <c r="AQ19" s="7">
        <f t="shared" si="17"/>
        <v>0.27780117944397642</v>
      </c>
      <c r="AR19" s="23"/>
      <c r="AS19" s="30">
        <f t="shared" ref="AS19:AS34" si="26">J19</f>
        <v>0.321445602</v>
      </c>
      <c r="AT19" s="28">
        <f t="shared" ref="AT19:AT34" si="27">IFERROR((AI19*AS19)-AJ19,"-")</f>
        <v>-501.95760447399971</v>
      </c>
      <c r="AV19" s="6">
        <v>37</v>
      </c>
      <c r="AW19" s="49">
        <v>45908</v>
      </c>
      <c r="AX19" s="49">
        <v>45914</v>
      </c>
    </row>
    <row r="20" spans="2:50" x14ac:dyDescent="0.35">
      <c r="B20" s="5" t="s">
        <v>55</v>
      </c>
      <c r="C20" s="5" t="s">
        <v>56</v>
      </c>
      <c r="D20" s="5" t="s">
        <v>57</v>
      </c>
      <c r="E20" s="5" t="str">
        <f>VLOOKUP($B20,trust_lookup[],4,0)</f>
        <v>Acute</v>
      </c>
      <c r="F20" s="5" t="s">
        <v>192</v>
      </c>
      <c r="G20" s="6">
        <f>VLOOKUP($B20,Summary!$G$18:$P$49,6,0)</f>
        <v>4899</v>
      </c>
      <c r="H20" s="6">
        <f>VLOOKUP($B20,Summary!$G$18:$P$49,7,0)</f>
        <v>2185</v>
      </c>
      <c r="I20" s="7">
        <f t="shared" si="4"/>
        <v>0.4460093896713615</v>
      </c>
      <c r="J20" s="7">
        <f>SUMIFS(flu_eng[fl_5%_target],flu_eng[trust_code],$B20)</f>
        <v>0.42991803299999998</v>
      </c>
      <c r="K20" s="6">
        <f>VLOOKUP($B20,Summary!$G$18:$P$49,10,0)</f>
        <v>1769</v>
      </c>
      <c r="L20" s="7">
        <f t="shared" si="5"/>
        <v>0.36109410083690552</v>
      </c>
      <c r="M20" s="6">
        <f>IFERROR(SUMIFS(flu_eng[nfl_staff],flu_eng[trust_code],$B20),"-")</f>
        <v>2079</v>
      </c>
      <c r="N20" s="6">
        <f>IFERROR(SUMIFS(flu_eng[nfl_doses],flu_eng[trust_code],$B20),"-")</f>
        <v>818</v>
      </c>
      <c r="O20" s="7">
        <f t="shared" si="6"/>
        <v>0.39345839345839345</v>
      </c>
      <c r="P20" s="2">
        <f t="shared" si="7"/>
        <v>4</v>
      </c>
      <c r="R20" s="2">
        <v>3</v>
      </c>
      <c r="T20" s="5" t="str">
        <f t="shared" si="8"/>
        <v>Homerton</v>
      </c>
      <c r="U20" s="6">
        <f t="shared" si="9"/>
        <v>3664</v>
      </c>
      <c r="V20" s="6">
        <f t="shared" si="10"/>
        <v>1696</v>
      </c>
      <c r="W20" s="7">
        <f t="shared" si="18"/>
        <v>0.46288209606986902</v>
      </c>
      <c r="X20" s="6">
        <f t="shared" si="19"/>
        <v>1968</v>
      </c>
      <c r="Y20" s="7">
        <f t="shared" si="11"/>
        <v>0.32751091703056767</v>
      </c>
      <c r="Z20" s="7">
        <f t="shared" si="20"/>
        <v>0.13537117903930135</v>
      </c>
      <c r="AA20" s="6">
        <f t="shared" si="12"/>
        <v>1309</v>
      </c>
      <c r="AB20" s="6">
        <f t="shared" si="13"/>
        <v>408</v>
      </c>
      <c r="AC20" s="7">
        <f t="shared" si="21"/>
        <v>0.31168831168831168</v>
      </c>
      <c r="AD20" s="23"/>
      <c r="AE20" s="30">
        <f t="shared" si="14"/>
        <v>0.38944695299999998</v>
      </c>
      <c r="AF20" s="28">
        <f t="shared" si="22"/>
        <v>-269.0663642080001</v>
      </c>
      <c r="AH20" s="5" t="str">
        <f t="shared" si="15"/>
        <v>ChelWest</v>
      </c>
      <c r="AI20" s="6">
        <f t="shared" si="16"/>
        <v>4899</v>
      </c>
      <c r="AJ20" s="6">
        <f t="shared" si="16"/>
        <v>2185</v>
      </c>
      <c r="AK20" s="7">
        <f t="shared" si="16"/>
        <v>0.4460093896713615</v>
      </c>
      <c r="AL20" s="6">
        <f t="shared" si="23"/>
        <v>2714</v>
      </c>
      <c r="AM20" s="7">
        <f t="shared" si="24"/>
        <v>0.36109410083690552</v>
      </c>
      <c r="AN20" s="7">
        <f t="shared" si="25"/>
        <v>8.4915288834455982E-2</v>
      </c>
      <c r="AO20" s="6">
        <f t="shared" si="17"/>
        <v>2079</v>
      </c>
      <c r="AP20" s="6">
        <f t="shared" si="17"/>
        <v>818</v>
      </c>
      <c r="AQ20" s="7">
        <f t="shared" si="17"/>
        <v>0.39345839345839345</v>
      </c>
      <c r="AR20" s="23"/>
      <c r="AS20" s="30">
        <f t="shared" si="26"/>
        <v>0.42991803299999998</v>
      </c>
      <c r="AT20" s="28">
        <f t="shared" si="27"/>
        <v>-78.831556333000208</v>
      </c>
      <c r="AV20" s="6">
        <v>38</v>
      </c>
      <c r="AW20" s="49">
        <v>45915</v>
      </c>
      <c r="AX20" s="49">
        <v>45921</v>
      </c>
    </row>
    <row r="21" spans="2:50" x14ac:dyDescent="0.35">
      <c r="B21" s="5" t="s">
        <v>76</v>
      </c>
      <c r="C21" s="5" t="s">
        <v>77</v>
      </c>
      <c r="D21" s="5" t="s">
        <v>78</v>
      </c>
      <c r="E21" s="5" t="str">
        <f>VLOOKUP($B21,trust_lookup[],4,0)</f>
        <v>Acute</v>
      </c>
      <c r="F21" s="5" t="s">
        <v>194</v>
      </c>
      <c r="G21" s="6">
        <f>VLOOKUP($B21,Summary!$G$18:$P$49,6,0)</f>
        <v>5931</v>
      </c>
      <c r="H21" s="6">
        <f>VLOOKUP($B21,Summary!$G$18:$P$49,7,0)</f>
        <v>2643</v>
      </c>
      <c r="I21" s="7">
        <f t="shared" si="4"/>
        <v>0.4456246838644411</v>
      </c>
      <c r="J21" s="7">
        <f>SUMIFS(flu_eng[fl_5%_target],flu_eng[trust_code],$B21)</f>
        <v>0.463787055</v>
      </c>
      <c r="K21" s="6">
        <f>VLOOKUP($B21,Summary!$G$18:$P$49,10,0)</f>
        <v>2398</v>
      </c>
      <c r="L21" s="7">
        <f t="shared" si="5"/>
        <v>0.4043163041645591</v>
      </c>
      <c r="M21" s="6">
        <f>IFERROR(SUMIFS(flu_eng[nfl_staff],flu_eng[trust_code],$B21),"-")</f>
        <v>1219</v>
      </c>
      <c r="N21" s="6">
        <f>IFERROR(SUMIFS(flu_eng[nfl_doses],flu_eng[trust_code],$B21),"-")</f>
        <v>548</v>
      </c>
      <c r="O21" s="7">
        <f t="shared" si="6"/>
        <v>0.44954881050041018</v>
      </c>
      <c r="P21" s="2">
        <f t="shared" si="7"/>
        <v>5</v>
      </c>
      <c r="R21" s="2">
        <v>4</v>
      </c>
      <c r="T21" s="5" t="str">
        <f t="shared" si="8"/>
        <v>ChelWest</v>
      </c>
      <c r="U21" s="6">
        <f t="shared" si="9"/>
        <v>4899</v>
      </c>
      <c r="V21" s="6">
        <f t="shared" si="10"/>
        <v>2185</v>
      </c>
      <c r="W21" s="7">
        <f t="shared" si="18"/>
        <v>0.4460093896713615</v>
      </c>
      <c r="X21" s="6">
        <f t="shared" si="19"/>
        <v>2714</v>
      </c>
      <c r="Y21" s="7">
        <f t="shared" si="11"/>
        <v>0.36109410083690552</v>
      </c>
      <c r="Z21" s="7">
        <f t="shared" si="20"/>
        <v>8.4915288834455982E-2</v>
      </c>
      <c r="AA21" s="6">
        <f t="shared" si="12"/>
        <v>2079</v>
      </c>
      <c r="AB21" s="6">
        <f t="shared" si="13"/>
        <v>818</v>
      </c>
      <c r="AC21" s="7">
        <f t="shared" si="21"/>
        <v>0.39345839345839345</v>
      </c>
      <c r="AD21" s="23"/>
      <c r="AE21" s="30">
        <f t="shared" si="14"/>
        <v>0.42991803299999998</v>
      </c>
      <c r="AF21" s="28">
        <f t="shared" si="22"/>
        <v>-78.831556333000208</v>
      </c>
      <c r="AH21" s="5" t="str">
        <f t="shared" si="15"/>
        <v>Epsom</v>
      </c>
      <c r="AI21" s="6">
        <f t="shared" si="16"/>
        <v>5931</v>
      </c>
      <c r="AJ21" s="6">
        <f t="shared" si="16"/>
        <v>2643</v>
      </c>
      <c r="AK21" s="7">
        <f t="shared" si="16"/>
        <v>0.4456246838644411</v>
      </c>
      <c r="AL21" s="6">
        <f t="shared" si="23"/>
        <v>3288</v>
      </c>
      <c r="AM21" s="7">
        <f t="shared" si="24"/>
        <v>0.4043163041645591</v>
      </c>
      <c r="AN21" s="7">
        <f t="shared" si="25"/>
        <v>4.1308379699881992E-2</v>
      </c>
      <c r="AO21" s="6">
        <f t="shared" si="17"/>
        <v>1219</v>
      </c>
      <c r="AP21" s="6">
        <f t="shared" si="17"/>
        <v>548</v>
      </c>
      <c r="AQ21" s="7">
        <f t="shared" si="17"/>
        <v>0.44954881050041018</v>
      </c>
      <c r="AR21" s="23"/>
      <c r="AS21" s="30">
        <f t="shared" si="26"/>
        <v>0.463787055</v>
      </c>
      <c r="AT21" s="28">
        <f t="shared" si="27"/>
        <v>107.72102320500017</v>
      </c>
      <c r="AV21" s="6">
        <v>39</v>
      </c>
      <c r="AW21" s="49">
        <v>45922</v>
      </c>
      <c r="AX21" s="49">
        <v>45928</v>
      </c>
    </row>
    <row r="22" spans="2:50" x14ac:dyDescent="0.35">
      <c r="B22" s="5" t="s">
        <v>89</v>
      </c>
      <c r="C22" s="5" t="s">
        <v>90</v>
      </c>
      <c r="D22" s="5" t="s">
        <v>91</v>
      </c>
      <c r="E22" s="5" t="str">
        <f>VLOOKUP($B22,trust_lookup[],4,0)</f>
        <v>Acute</v>
      </c>
      <c r="F22" s="5" t="s">
        <v>193</v>
      </c>
      <c r="G22" s="6">
        <f>VLOOKUP($B22,Summary!$G$18:$P$49,6,0)</f>
        <v>17148</v>
      </c>
      <c r="H22" s="6">
        <f>VLOOKUP($B22,Summary!$G$18:$P$49,7,0)</f>
        <v>7506</v>
      </c>
      <c r="I22" s="7">
        <f t="shared" si="4"/>
        <v>0.43771868439468159</v>
      </c>
      <c r="J22" s="7">
        <f>SUMIFS(flu_eng[fl_5%_target],flu_eng[trust_code],$B22)</f>
        <v>0.401467136</v>
      </c>
      <c r="K22" s="6">
        <f>VLOOKUP($B22,Summary!$G$18:$P$49,10,0)</f>
        <v>5956</v>
      </c>
      <c r="L22" s="7">
        <f t="shared" si="5"/>
        <v>0.34732913459295545</v>
      </c>
      <c r="M22" s="6">
        <f>IFERROR(SUMIFS(flu_eng[nfl_staff],flu_eng[trust_code],$B22),"-")</f>
        <v>6608</v>
      </c>
      <c r="N22" s="6">
        <f>IFERROR(SUMIFS(flu_eng[nfl_doses],flu_eng[trust_code],$B22),"-")</f>
        <v>2486</v>
      </c>
      <c r="O22" s="7">
        <f t="shared" si="6"/>
        <v>0.37621065375302665</v>
      </c>
      <c r="P22" s="2">
        <f t="shared" si="7"/>
        <v>7</v>
      </c>
      <c r="R22" s="2">
        <v>5</v>
      </c>
      <c r="T22" s="5" t="str">
        <f t="shared" si="8"/>
        <v>Epsom</v>
      </c>
      <c r="U22" s="6">
        <f t="shared" si="9"/>
        <v>5931</v>
      </c>
      <c r="V22" s="6">
        <f t="shared" si="10"/>
        <v>2643</v>
      </c>
      <c r="W22" s="7">
        <f t="shared" si="18"/>
        <v>0.4456246838644411</v>
      </c>
      <c r="X22" s="6">
        <f t="shared" si="19"/>
        <v>3288</v>
      </c>
      <c r="Y22" s="7">
        <f t="shared" si="11"/>
        <v>0.4043163041645591</v>
      </c>
      <c r="Z22" s="7">
        <f t="shared" si="20"/>
        <v>4.1308379699881992E-2</v>
      </c>
      <c r="AA22" s="6">
        <f t="shared" si="12"/>
        <v>1219</v>
      </c>
      <c r="AB22" s="6">
        <f t="shared" si="13"/>
        <v>548</v>
      </c>
      <c r="AC22" s="7">
        <f t="shared" si="21"/>
        <v>0.44954881050041018</v>
      </c>
      <c r="AD22" s="23"/>
      <c r="AE22" s="30">
        <f t="shared" si="14"/>
        <v>0.463787055</v>
      </c>
      <c r="AF22" s="28">
        <f t="shared" si="22"/>
        <v>107.72102320500017</v>
      </c>
      <c r="AH22" s="5" t="str">
        <f t="shared" si="15"/>
        <v>GSTT</v>
      </c>
      <c r="AI22" s="6">
        <f t="shared" si="16"/>
        <v>17148</v>
      </c>
      <c r="AJ22" s="6">
        <f t="shared" si="16"/>
        <v>7506</v>
      </c>
      <c r="AK22" s="7">
        <f t="shared" si="16"/>
        <v>0.43771868439468159</v>
      </c>
      <c r="AL22" s="6">
        <f t="shared" si="23"/>
        <v>9642</v>
      </c>
      <c r="AM22" s="7">
        <f t="shared" si="24"/>
        <v>0.34732913459295545</v>
      </c>
      <c r="AN22" s="7">
        <f t="shared" si="25"/>
        <v>9.0389549801726143E-2</v>
      </c>
      <c r="AO22" s="6">
        <f t="shared" si="17"/>
        <v>6608</v>
      </c>
      <c r="AP22" s="6">
        <f t="shared" si="17"/>
        <v>2486</v>
      </c>
      <c r="AQ22" s="7">
        <f t="shared" si="17"/>
        <v>0.37621065375302665</v>
      </c>
      <c r="AR22" s="23"/>
      <c r="AS22" s="30">
        <f t="shared" si="26"/>
        <v>0.401467136</v>
      </c>
      <c r="AT22" s="28">
        <f t="shared" si="27"/>
        <v>-621.64155187199958</v>
      </c>
      <c r="AV22" s="6">
        <v>40</v>
      </c>
      <c r="AW22" s="49">
        <v>45929</v>
      </c>
      <c r="AX22" s="49">
        <v>45935</v>
      </c>
    </row>
    <row r="23" spans="2:50" x14ac:dyDescent="0.35">
      <c r="B23" s="5" t="s">
        <v>95</v>
      </c>
      <c r="C23" s="5" t="s">
        <v>96</v>
      </c>
      <c r="D23" s="5" t="s">
        <v>97</v>
      </c>
      <c r="E23" s="5" t="str">
        <f>VLOOKUP($B23,trust_lookup[],4,0)</f>
        <v>Acute</v>
      </c>
      <c r="F23" s="5" t="s">
        <v>190</v>
      </c>
      <c r="G23" s="6">
        <f>VLOOKUP($B23,Summary!$G$18:$P$49,6,0)</f>
        <v>3664</v>
      </c>
      <c r="H23" s="6">
        <f>VLOOKUP($B23,Summary!$G$18:$P$49,7,0)</f>
        <v>1696</v>
      </c>
      <c r="I23" s="7">
        <f t="shared" si="4"/>
        <v>0.46288209606986902</v>
      </c>
      <c r="J23" s="7">
        <f>SUMIFS(flu_eng[fl_5%_target],flu_eng[trust_code],$B23)</f>
        <v>0.38944695299999998</v>
      </c>
      <c r="K23" s="6">
        <f>VLOOKUP($B23,Summary!$G$18:$P$49,10,0)</f>
        <v>1200</v>
      </c>
      <c r="L23" s="7">
        <f t="shared" si="5"/>
        <v>0.32751091703056767</v>
      </c>
      <c r="M23" s="6">
        <f>IFERROR(SUMIFS(flu_eng[nfl_staff],flu_eng[trust_code],$B23),"-")</f>
        <v>1309</v>
      </c>
      <c r="N23" s="6">
        <f>IFERROR(SUMIFS(flu_eng[nfl_doses],flu_eng[trust_code],$B23),"-")</f>
        <v>408</v>
      </c>
      <c r="O23" s="7">
        <f t="shared" si="6"/>
        <v>0.31168831168831168</v>
      </c>
      <c r="P23" s="2">
        <f t="shared" si="7"/>
        <v>3</v>
      </c>
      <c r="R23" s="2">
        <v>6</v>
      </c>
      <c r="T23" s="5" t="str">
        <f t="shared" si="8"/>
        <v>UCLH</v>
      </c>
      <c r="U23" s="6">
        <f t="shared" si="9"/>
        <v>8259</v>
      </c>
      <c r="V23" s="6">
        <f t="shared" si="10"/>
        <v>3646</v>
      </c>
      <c r="W23" s="7">
        <f t="shared" si="18"/>
        <v>0.44145780360818498</v>
      </c>
      <c r="X23" s="6">
        <f t="shared" si="19"/>
        <v>4613</v>
      </c>
      <c r="Y23" s="7">
        <f t="shared" si="11"/>
        <v>0.38806150865722244</v>
      </c>
      <c r="Z23" s="7">
        <f t="shared" si="20"/>
        <v>5.3396294950962542E-2</v>
      </c>
      <c r="AA23" s="6">
        <f t="shared" si="12"/>
        <v>2981</v>
      </c>
      <c r="AB23" s="6">
        <f t="shared" si="13"/>
        <v>997</v>
      </c>
      <c r="AC23" s="7">
        <f t="shared" si="21"/>
        <v>0.33445152633344516</v>
      </c>
      <c r="AD23" s="23"/>
      <c r="AE23" s="30">
        <f t="shared" si="14"/>
        <v>0.445920969</v>
      </c>
      <c r="AF23" s="28">
        <f t="shared" si="22"/>
        <v>36.861282971000037</v>
      </c>
      <c r="AH23" s="5" t="str">
        <f t="shared" si="15"/>
        <v>Homerton</v>
      </c>
      <c r="AI23" s="6">
        <f t="shared" si="16"/>
        <v>3664</v>
      </c>
      <c r="AJ23" s="6">
        <f t="shared" si="16"/>
        <v>1696</v>
      </c>
      <c r="AK23" s="7">
        <f t="shared" si="16"/>
        <v>0.46288209606986902</v>
      </c>
      <c r="AL23" s="6">
        <f t="shared" si="23"/>
        <v>1968</v>
      </c>
      <c r="AM23" s="7">
        <f t="shared" si="24"/>
        <v>0.32751091703056767</v>
      </c>
      <c r="AN23" s="7">
        <f t="shared" si="25"/>
        <v>0.13537117903930135</v>
      </c>
      <c r="AO23" s="6">
        <f t="shared" si="17"/>
        <v>1309</v>
      </c>
      <c r="AP23" s="6">
        <f t="shared" si="17"/>
        <v>408</v>
      </c>
      <c r="AQ23" s="7">
        <f t="shared" si="17"/>
        <v>0.31168831168831168</v>
      </c>
      <c r="AR23" s="23"/>
      <c r="AS23" s="30">
        <f t="shared" si="26"/>
        <v>0.38944695299999998</v>
      </c>
      <c r="AT23" s="28">
        <f t="shared" si="27"/>
        <v>-269.0663642080001</v>
      </c>
      <c r="AV23" s="6">
        <v>41</v>
      </c>
      <c r="AW23" s="49">
        <v>45936</v>
      </c>
      <c r="AX23" s="49">
        <v>45942</v>
      </c>
    </row>
    <row r="24" spans="2:50" x14ac:dyDescent="0.35">
      <c r="B24" s="5" t="s">
        <v>101</v>
      </c>
      <c r="C24" s="5" t="s">
        <v>102</v>
      </c>
      <c r="D24" s="5" t="s">
        <v>103</v>
      </c>
      <c r="E24" s="5" t="str">
        <f>VLOOKUP($B24,trust_lookup[],4,0)</f>
        <v>Acute</v>
      </c>
      <c r="F24" s="5" t="s">
        <v>192</v>
      </c>
      <c r="G24" s="6">
        <f>VLOOKUP($B24,Summary!$G$18:$P$49,6,0)</f>
        <v>11552</v>
      </c>
      <c r="H24" s="6">
        <f>VLOOKUP($B24,Summary!$G$18:$P$49,7,0)</f>
        <v>4333</v>
      </c>
      <c r="I24" s="7">
        <f t="shared" si="4"/>
        <v>0.37508656509695293</v>
      </c>
      <c r="J24" s="7">
        <f>SUMIFS(flu_eng[fl_5%_target],flu_eng[trust_code],$B24)</f>
        <v>0.36846209599999902</v>
      </c>
      <c r="K24" s="6">
        <f>VLOOKUP($B24,Summary!$G$18:$P$49,10,0)</f>
        <v>3595</v>
      </c>
      <c r="L24" s="7">
        <f t="shared" si="5"/>
        <v>0.31120152354570635</v>
      </c>
      <c r="M24" s="6">
        <f>IFERROR(SUMIFS(flu_eng[nfl_staff],flu_eng[trust_code],$B24),"-")</f>
        <v>4047</v>
      </c>
      <c r="N24" s="6">
        <f>IFERROR(SUMIFS(flu_eng[nfl_doses],flu_eng[trust_code],$B24),"-")</f>
        <v>1225</v>
      </c>
      <c r="O24" s="7">
        <f t="shared" si="6"/>
        <v>0.30269335310106249</v>
      </c>
      <c r="P24" s="2">
        <f t="shared" si="7"/>
        <v>13</v>
      </c>
      <c r="R24" s="2">
        <v>7</v>
      </c>
      <c r="T24" s="5" t="str">
        <f t="shared" si="8"/>
        <v>GSTT</v>
      </c>
      <c r="U24" s="6">
        <f t="shared" si="9"/>
        <v>17148</v>
      </c>
      <c r="V24" s="6">
        <f t="shared" si="10"/>
        <v>7506</v>
      </c>
      <c r="W24" s="7">
        <f t="shared" si="18"/>
        <v>0.43771868439468159</v>
      </c>
      <c r="X24" s="6">
        <f t="shared" si="19"/>
        <v>9642</v>
      </c>
      <c r="Y24" s="7">
        <f t="shared" si="11"/>
        <v>0.34732913459295545</v>
      </c>
      <c r="Z24" s="7">
        <f t="shared" si="20"/>
        <v>9.0389549801726143E-2</v>
      </c>
      <c r="AA24" s="6">
        <f t="shared" si="12"/>
        <v>6608</v>
      </c>
      <c r="AB24" s="6">
        <f t="shared" si="13"/>
        <v>2486</v>
      </c>
      <c r="AC24" s="7">
        <f t="shared" si="21"/>
        <v>0.37621065375302665</v>
      </c>
      <c r="AD24" s="23"/>
      <c r="AE24" s="30">
        <f t="shared" si="14"/>
        <v>0.401467136</v>
      </c>
      <c r="AF24" s="28">
        <f t="shared" si="22"/>
        <v>-621.64155187199958</v>
      </c>
      <c r="AH24" s="5" t="str">
        <f t="shared" si="15"/>
        <v>Imperial</v>
      </c>
      <c r="AI24" s="6">
        <f t="shared" si="16"/>
        <v>11552</v>
      </c>
      <c r="AJ24" s="6">
        <f t="shared" si="16"/>
        <v>4333</v>
      </c>
      <c r="AK24" s="7">
        <f t="shared" si="16"/>
        <v>0.37508656509695293</v>
      </c>
      <c r="AL24" s="6">
        <f t="shared" si="23"/>
        <v>7219</v>
      </c>
      <c r="AM24" s="7">
        <f t="shared" si="24"/>
        <v>0.31120152354570635</v>
      </c>
      <c r="AN24" s="7">
        <f t="shared" si="25"/>
        <v>6.388504155124658E-2</v>
      </c>
      <c r="AO24" s="6">
        <f t="shared" si="17"/>
        <v>4047</v>
      </c>
      <c r="AP24" s="6">
        <f t="shared" si="17"/>
        <v>1225</v>
      </c>
      <c r="AQ24" s="7">
        <f t="shared" si="17"/>
        <v>0.30269335310106249</v>
      </c>
      <c r="AR24" s="23"/>
      <c r="AS24" s="30">
        <f t="shared" si="26"/>
        <v>0.36846209599999902</v>
      </c>
      <c r="AT24" s="28">
        <f t="shared" si="27"/>
        <v>-76.525867008011119</v>
      </c>
      <c r="AV24" s="6">
        <v>42</v>
      </c>
      <c r="AW24" s="49">
        <v>45943</v>
      </c>
      <c r="AX24" s="49">
        <v>45949</v>
      </c>
    </row>
    <row r="25" spans="2:50" x14ac:dyDescent="0.35">
      <c r="B25" s="5" t="s">
        <v>107</v>
      </c>
      <c r="C25" s="5" t="s">
        <v>108</v>
      </c>
      <c r="D25" s="5" t="s">
        <v>109</v>
      </c>
      <c r="E25" s="5" t="str">
        <f>VLOOKUP($B25,trust_lookup[],4,0)</f>
        <v>Acute</v>
      </c>
      <c r="F25" s="5" t="s">
        <v>193</v>
      </c>
      <c r="G25" s="6">
        <f>VLOOKUP($B25,Summary!$G$18:$P$49,6,0)</f>
        <v>9605</v>
      </c>
      <c r="H25" s="6">
        <f>VLOOKUP($B25,Summary!$G$18:$P$49,7,0)</f>
        <v>4447</v>
      </c>
      <c r="I25" s="7">
        <f t="shared" si="4"/>
        <v>0.46298802706923475</v>
      </c>
      <c r="J25" s="7">
        <f>SUMIFS(flu_eng[fl_5%_target],flu_eng[trust_code],$B25)</f>
        <v>0.45879828299999997</v>
      </c>
      <c r="K25" s="6">
        <f>VLOOKUP($B25,Summary!$G$18:$P$49,10,0)</f>
        <v>3770</v>
      </c>
      <c r="L25" s="7">
        <f t="shared" si="5"/>
        <v>0.3925039042165539</v>
      </c>
      <c r="M25" s="6">
        <f>IFERROR(SUMIFS(flu_eng[nfl_staff],flu_eng[trust_code],$B25),"-")</f>
        <v>4895</v>
      </c>
      <c r="N25" s="6">
        <f>IFERROR(SUMIFS(flu_eng[nfl_doses],flu_eng[trust_code],$B25),"-")</f>
        <v>1530</v>
      </c>
      <c r="O25" s="7">
        <f t="shared" si="6"/>
        <v>0.31256384065372828</v>
      </c>
      <c r="P25" s="2">
        <f t="shared" si="7"/>
        <v>2</v>
      </c>
      <c r="R25" s="2">
        <v>8</v>
      </c>
      <c r="T25" s="5" t="str">
        <f t="shared" si="8"/>
        <v>LNW</v>
      </c>
      <c r="U25" s="6">
        <f t="shared" si="9"/>
        <v>4229</v>
      </c>
      <c r="V25" s="6">
        <f t="shared" si="10"/>
        <v>1792</v>
      </c>
      <c r="W25" s="7">
        <f t="shared" si="18"/>
        <v>0.42374083707732324</v>
      </c>
      <c r="X25" s="6">
        <f t="shared" si="19"/>
        <v>2437</v>
      </c>
      <c r="Y25" s="7">
        <f t="shared" si="11"/>
        <v>0.37502955781508629</v>
      </c>
      <c r="Z25" s="7">
        <f t="shared" si="20"/>
        <v>4.8711279262236951E-2</v>
      </c>
      <c r="AA25" s="6">
        <f t="shared" si="12"/>
        <v>4507</v>
      </c>
      <c r="AB25" s="6">
        <f t="shared" si="13"/>
        <v>1798</v>
      </c>
      <c r="AC25" s="7">
        <f t="shared" si="21"/>
        <v>0.3989349900155314</v>
      </c>
      <c r="AD25" s="23"/>
      <c r="AE25" s="30">
        <f t="shared" si="14"/>
        <v>0.431501678</v>
      </c>
      <c r="AF25" s="28">
        <f t="shared" si="22"/>
        <v>32.820596261999981</v>
      </c>
      <c r="AH25" s="5" t="str">
        <f t="shared" si="15"/>
        <v>King's</v>
      </c>
      <c r="AI25" s="6">
        <f t="shared" si="16"/>
        <v>9605</v>
      </c>
      <c r="AJ25" s="6">
        <f t="shared" si="16"/>
        <v>4447</v>
      </c>
      <c r="AK25" s="7">
        <f t="shared" si="16"/>
        <v>0.46298802706923475</v>
      </c>
      <c r="AL25" s="6">
        <f t="shared" si="23"/>
        <v>5158</v>
      </c>
      <c r="AM25" s="7">
        <f t="shared" si="24"/>
        <v>0.3925039042165539</v>
      </c>
      <c r="AN25" s="7">
        <f t="shared" si="25"/>
        <v>7.0484122852680853E-2</v>
      </c>
      <c r="AO25" s="6">
        <f t="shared" si="17"/>
        <v>4895</v>
      </c>
      <c r="AP25" s="6">
        <f t="shared" si="17"/>
        <v>1530</v>
      </c>
      <c r="AQ25" s="7">
        <f t="shared" si="17"/>
        <v>0.31256384065372828</v>
      </c>
      <c r="AR25" s="23"/>
      <c r="AS25" s="30">
        <f t="shared" si="26"/>
        <v>0.45879828299999997</v>
      </c>
      <c r="AT25" s="28">
        <f t="shared" si="27"/>
        <v>-40.242491785000311</v>
      </c>
      <c r="AV25" s="6">
        <v>43</v>
      </c>
      <c r="AW25" s="49">
        <v>45950</v>
      </c>
      <c r="AX25" s="49">
        <v>45956</v>
      </c>
    </row>
    <row r="26" spans="2:50" x14ac:dyDescent="0.35">
      <c r="B26" s="5" t="s">
        <v>118</v>
      </c>
      <c r="C26" s="5" t="s">
        <v>119</v>
      </c>
      <c r="D26" s="5" t="s">
        <v>120</v>
      </c>
      <c r="E26" s="5" t="str">
        <f>VLOOKUP($B26,trust_lookup[],4,0)</f>
        <v>Acute</v>
      </c>
      <c r="F26" s="5" t="s">
        <v>193</v>
      </c>
      <c r="G26" s="6">
        <f>VLOOKUP($B26,Summary!$G$18:$P$49,6,0)</f>
        <v>6569</v>
      </c>
      <c r="H26" s="6">
        <f>VLOOKUP($B26,Summary!$G$18:$P$49,7,0)</f>
        <v>2310</v>
      </c>
      <c r="I26" s="7">
        <f t="shared" si="4"/>
        <v>0.35165169736641805</v>
      </c>
      <c r="J26" s="7">
        <f>SUMIFS(flu_eng[fl_5%_target],flu_eng[trust_code],$B26)</f>
        <v>0.35655045600000002</v>
      </c>
      <c r="K26" s="6">
        <f>VLOOKUP($B26,Summary!$G$18:$P$49,10,0)</f>
        <v>1930</v>
      </c>
      <c r="L26" s="7">
        <f t="shared" si="5"/>
        <v>0.29380423199878214</v>
      </c>
      <c r="M26" s="6">
        <f>IFERROR(SUMIFS(flu_eng[nfl_staff],flu_eng[trust_code],$B26),"-")</f>
        <v>1472</v>
      </c>
      <c r="N26" s="6">
        <f>IFERROR(SUMIFS(flu_eng[nfl_doses],flu_eng[trust_code],$B26),"-")</f>
        <v>453</v>
      </c>
      <c r="O26" s="7">
        <f t="shared" si="6"/>
        <v>0.3077445652173913</v>
      </c>
      <c r="P26" s="2">
        <f t="shared" si="7"/>
        <v>15</v>
      </c>
      <c r="R26" s="2">
        <v>9</v>
      </c>
      <c r="T26" s="5" t="str">
        <f t="shared" si="8"/>
        <v>St George's</v>
      </c>
      <c r="U26" s="6">
        <f t="shared" si="9"/>
        <v>6877</v>
      </c>
      <c r="V26" s="6">
        <f t="shared" si="10"/>
        <v>2846</v>
      </c>
      <c r="W26" s="7">
        <f t="shared" si="18"/>
        <v>0.41384324560127961</v>
      </c>
      <c r="X26" s="6">
        <f t="shared" si="19"/>
        <v>4031</v>
      </c>
      <c r="Y26" s="7">
        <f t="shared" si="11"/>
        <v>0.40555474770975714</v>
      </c>
      <c r="Z26" s="7">
        <f t="shared" si="20"/>
        <v>8.2884978915224727E-3</v>
      </c>
      <c r="AA26" s="6">
        <f t="shared" si="12"/>
        <v>2989</v>
      </c>
      <c r="AB26" s="6">
        <f t="shared" si="13"/>
        <v>1111</v>
      </c>
      <c r="AC26" s="7">
        <f t="shared" si="21"/>
        <v>0.37169621947139514</v>
      </c>
      <c r="AD26" s="23"/>
      <c r="AE26" s="30">
        <f t="shared" si="14"/>
        <v>0.46521953999999999</v>
      </c>
      <c r="AF26" s="28">
        <f t="shared" si="22"/>
        <v>353.31477657999994</v>
      </c>
      <c r="AH26" s="5" t="str">
        <f t="shared" si="15"/>
        <v>L&amp;G</v>
      </c>
      <c r="AI26" s="6">
        <f t="shared" si="16"/>
        <v>6569</v>
      </c>
      <c r="AJ26" s="6">
        <f t="shared" si="16"/>
        <v>2310</v>
      </c>
      <c r="AK26" s="7">
        <f t="shared" si="16"/>
        <v>0.35165169736641805</v>
      </c>
      <c r="AL26" s="6">
        <f t="shared" si="23"/>
        <v>4259</v>
      </c>
      <c r="AM26" s="7">
        <f t="shared" si="24"/>
        <v>0.29380423199878214</v>
      </c>
      <c r="AN26" s="7">
        <f t="shared" si="25"/>
        <v>5.7847465367635909E-2</v>
      </c>
      <c r="AO26" s="6">
        <f t="shared" si="17"/>
        <v>1472</v>
      </c>
      <c r="AP26" s="6">
        <f t="shared" si="17"/>
        <v>453</v>
      </c>
      <c r="AQ26" s="7">
        <f t="shared" si="17"/>
        <v>0.3077445652173913</v>
      </c>
      <c r="AR26" s="23"/>
      <c r="AS26" s="30">
        <f t="shared" si="26"/>
        <v>0.35655045600000002</v>
      </c>
      <c r="AT26" s="28">
        <f t="shared" si="27"/>
        <v>32.179945463999957</v>
      </c>
      <c r="AV26" s="6">
        <v>44</v>
      </c>
      <c r="AW26" s="49">
        <v>45957</v>
      </c>
      <c r="AX26" s="49">
        <v>45963</v>
      </c>
    </row>
    <row r="27" spans="2:50" x14ac:dyDescent="0.35">
      <c r="B27" s="5" t="s">
        <v>130</v>
      </c>
      <c r="C27" s="5" t="s">
        <v>131</v>
      </c>
      <c r="D27" s="5" t="s">
        <v>132</v>
      </c>
      <c r="E27" s="5" t="str">
        <f>VLOOKUP($B27,trust_lookup[],4,0)</f>
        <v>Acute</v>
      </c>
      <c r="F27" s="5" t="s">
        <v>192</v>
      </c>
      <c r="G27" s="6">
        <f>VLOOKUP($B27,Summary!$G$18:$P$49,6,0)</f>
        <v>4229</v>
      </c>
      <c r="H27" s="6">
        <f>VLOOKUP($B27,Summary!$G$18:$P$49,7,0)</f>
        <v>1792</v>
      </c>
      <c r="I27" s="7">
        <f t="shared" si="4"/>
        <v>0.42374083707732324</v>
      </c>
      <c r="J27" s="7">
        <f>SUMIFS(flu_eng[fl_5%_target],flu_eng[trust_code],$B27)</f>
        <v>0.431501678</v>
      </c>
      <c r="K27" s="6">
        <f>VLOOKUP($B27,Summary!$G$18:$P$49,10,0)</f>
        <v>1586</v>
      </c>
      <c r="L27" s="7">
        <f t="shared" si="5"/>
        <v>0.37502955781508629</v>
      </c>
      <c r="M27" s="6">
        <f>IFERROR(SUMIFS(flu_eng[nfl_staff],flu_eng[trust_code],$B27),"-")</f>
        <v>4507</v>
      </c>
      <c r="N27" s="6">
        <f>IFERROR(SUMIFS(flu_eng[nfl_doses],flu_eng[trust_code],$B27),"-")</f>
        <v>1798</v>
      </c>
      <c r="O27" s="7">
        <f t="shared" si="6"/>
        <v>0.3989349900155314</v>
      </c>
      <c r="P27" s="2">
        <f t="shared" si="7"/>
        <v>8</v>
      </c>
      <c r="R27" s="2">
        <v>10</v>
      </c>
      <c r="T27" s="5" t="str">
        <f t="shared" si="8"/>
        <v>Croydon</v>
      </c>
      <c r="U27" s="6">
        <f t="shared" si="9"/>
        <v>3343</v>
      </c>
      <c r="V27" s="6">
        <f t="shared" si="10"/>
        <v>1351</v>
      </c>
      <c r="W27" s="7">
        <f t="shared" si="18"/>
        <v>0.40412802871672149</v>
      </c>
      <c r="X27" s="6">
        <f t="shared" si="19"/>
        <v>1992</v>
      </c>
      <c r="Y27" s="7">
        <f t="shared" si="11"/>
        <v>0.39006880047861203</v>
      </c>
      <c r="Z27" s="7">
        <f t="shared" si="20"/>
        <v>1.4059228238109456E-2</v>
      </c>
      <c r="AA27" s="6">
        <f t="shared" si="12"/>
        <v>1177</v>
      </c>
      <c r="AB27" s="6">
        <f t="shared" si="13"/>
        <v>442</v>
      </c>
      <c r="AC27" s="7">
        <f t="shared" si="21"/>
        <v>0.37553101104502973</v>
      </c>
      <c r="AD27" s="23"/>
      <c r="AE27" s="30">
        <f t="shared" si="14"/>
        <v>0.45672782899999997</v>
      </c>
      <c r="AF27" s="28">
        <f t="shared" si="22"/>
        <v>175.84113234699998</v>
      </c>
      <c r="AH27" s="5" t="str">
        <f t="shared" si="15"/>
        <v>LNW</v>
      </c>
      <c r="AI27" s="6">
        <f t="shared" si="16"/>
        <v>4229</v>
      </c>
      <c r="AJ27" s="6">
        <f t="shared" si="16"/>
        <v>1792</v>
      </c>
      <c r="AK27" s="7">
        <f t="shared" si="16"/>
        <v>0.42374083707732324</v>
      </c>
      <c r="AL27" s="6">
        <f t="shared" si="23"/>
        <v>2437</v>
      </c>
      <c r="AM27" s="7">
        <f t="shared" si="24"/>
        <v>0.37502955781508629</v>
      </c>
      <c r="AN27" s="7">
        <f t="shared" si="25"/>
        <v>4.8711279262236951E-2</v>
      </c>
      <c r="AO27" s="6">
        <f t="shared" si="17"/>
        <v>4507</v>
      </c>
      <c r="AP27" s="6">
        <f t="shared" si="17"/>
        <v>1798</v>
      </c>
      <c r="AQ27" s="7">
        <f t="shared" si="17"/>
        <v>0.3989349900155314</v>
      </c>
      <c r="AR27" s="23"/>
      <c r="AS27" s="30">
        <f t="shared" si="26"/>
        <v>0.431501678</v>
      </c>
      <c r="AT27" s="28">
        <f t="shared" si="27"/>
        <v>32.820596261999981</v>
      </c>
      <c r="AV27" s="6">
        <v>45</v>
      </c>
      <c r="AW27" s="49">
        <v>45964</v>
      </c>
      <c r="AX27" s="49">
        <v>45970</v>
      </c>
    </row>
    <row r="28" spans="2:50" x14ac:dyDescent="0.35">
      <c r="B28" s="5" t="s">
        <v>157</v>
      </c>
      <c r="C28" s="5" t="s">
        <v>158</v>
      </c>
      <c r="D28" s="5" t="s">
        <v>159</v>
      </c>
      <c r="E28" s="5" t="str">
        <f>VLOOKUP($B28,trust_lookup[],4,0)</f>
        <v>Acute</v>
      </c>
      <c r="F28" s="5" t="s">
        <v>27</v>
      </c>
      <c r="G28" s="6">
        <f>VLOOKUP($B28,Summary!$G$18:$P$49,6,0)</f>
        <v>18776</v>
      </c>
      <c r="H28" s="6">
        <f>VLOOKUP($B28,Summary!$G$18:$P$49,7,0)</f>
        <v>6979</v>
      </c>
      <c r="I28" s="7">
        <f t="shared" si="4"/>
        <v>0.37169791222837667</v>
      </c>
      <c r="J28" s="7">
        <f>SUMIFS(flu_eng[fl_5%_target],flu_eng[trust_code],$B28)</f>
        <v>0.35984664599999999</v>
      </c>
      <c r="K28" s="6">
        <f>VLOOKUP($B28,Summary!$G$18:$P$49,10,0)</f>
        <v>5705</v>
      </c>
      <c r="L28" s="7">
        <f t="shared" si="5"/>
        <v>0.3038453344695356</v>
      </c>
      <c r="M28" s="6">
        <f>IFERROR(SUMIFS(flu_eng[nfl_staff],flu_eng[trust_code],$B28),"-")</f>
        <v>1957</v>
      </c>
      <c r="N28" s="6">
        <f>IFERROR(SUMIFS(flu_eng[nfl_doses],flu_eng[trust_code],$B28),"-")</f>
        <v>664</v>
      </c>
      <c r="O28" s="7">
        <f t="shared" si="6"/>
        <v>0.33929483903934593</v>
      </c>
      <c r="P28" s="2">
        <f t="shared" si="7"/>
        <v>14</v>
      </c>
      <c r="R28" s="2">
        <v>11</v>
      </c>
      <c r="T28" s="5" t="str">
        <f t="shared" si="8"/>
        <v>Whittington</v>
      </c>
      <c r="U28" s="6">
        <f t="shared" si="9"/>
        <v>2969</v>
      </c>
      <c r="V28" s="6">
        <f t="shared" si="10"/>
        <v>1185</v>
      </c>
      <c r="W28" s="7">
        <f t="shared" si="18"/>
        <v>0.39912428427079827</v>
      </c>
      <c r="X28" s="6">
        <f t="shared" si="19"/>
        <v>1784</v>
      </c>
      <c r="Y28" s="7">
        <f t="shared" si="11"/>
        <v>0.34590771303469181</v>
      </c>
      <c r="Z28" s="7">
        <f t="shared" si="20"/>
        <v>5.3216571236106458E-2</v>
      </c>
      <c r="AA28" s="6">
        <f t="shared" si="12"/>
        <v>1632</v>
      </c>
      <c r="AB28" s="6">
        <f t="shared" si="13"/>
        <v>519</v>
      </c>
      <c r="AC28" s="7">
        <f t="shared" si="21"/>
        <v>0.31801470588235292</v>
      </c>
      <c r="AD28" s="23"/>
      <c r="AE28" s="30">
        <f t="shared" si="14"/>
        <v>0.39853195199999902</v>
      </c>
      <c r="AF28" s="28">
        <f t="shared" si="22"/>
        <v>-1.7586345120028</v>
      </c>
      <c r="AH28" s="5" t="str">
        <f t="shared" si="15"/>
        <v>Royal Free</v>
      </c>
      <c r="AI28" s="6">
        <f t="shared" si="16"/>
        <v>18776</v>
      </c>
      <c r="AJ28" s="6">
        <f t="shared" si="16"/>
        <v>6979</v>
      </c>
      <c r="AK28" s="7">
        <f t="shared" si="16"/>
        <v>0.37169791222837667</v>
      </c>
      <c r="AL28" s="6">
        <f t="shared" si="23"/>
        <v>11797</v>
      </c>
      <c r="AM28" s="7">
        <f t="shared" si="24"/>
        <v>0.3038453344695356</v>
      </c>
      <c r="AN28" s="7">
        <f t="shared" si="25"/>
        <v>6.7852577758841071E-2</v>
      </c>
      <c r="AO28" s="6">
        <f t="shared" si="17"/>
        <v>1957</v>
      </c>
      <c r="AP28" s="6">
        <f t="shared" si="17"/>
        <v>664</v>
      </c>
      <c r="AQ28" s="7">
        <f t="shared" si="17"/>
        <v>0.33929483903934593</v>
      </c>
      <c r="AR28" s="23"/>
      <c r="AS28" s="30">
        <f t="shared" si="26"/>
        <v>0.35984664599999999</v>
      </c>
      <c r="AT28" s="28">
        <f t="shared" si="27"/>
        <v>-222.51937470400026</v>
      </c>
      <c r="AV28" s="6">
        <v>46</v>
      </c>
      <c r="AW28" s="49">
        <v>45971</v>
      </c>
      <c r="AX28" s="49">
        <v>45977</v>
      </c>
    </row>
    <row r="29" spans="2:50" x14ac:dyDescent="0.35">
      <c r="B29" s="5" t="s">
        <v>170</v>
      </c>
      <c r="C29" s="5" t="s">
        <v>171</v>
      </c>
      <c r="D29" s="5" t="s">
        <v>172</v>
      </c>
      <c r="E29" s="5" t="str">
        <f>VLOOKUP($B29,trust_lookup[],4,0)</f>
        <v>Acute</v>
      </c>
      <c r="F29" s="5" t="s">
        <v>194</v>
      </c>
      <c r="G29" s="6">
        <f>VLOOKUP($B29,Summary!$G$18:$P$49,6,0)</f>
        <v>6877</v>
      </c>
      <c r="H29" s="6">
        <f>VLOOKUP($B29,Summary!$G$18:$P$49,7,0)</f>
        <v>2846</v>
      </c>
      <c r="I29" s="7">
        <f t="shared" si="4"/>
        <v>0.41384324560127961</v>
      </c>
      <c r="J29" s="7">
        <f>SUMIFS(flu_eng[fl_5%_target],flu_eng[trust_code],$B29)</f>
        <v>0.46521953999999999</v>
      </c>
      <c r="K29" s="6">
        <f>VLOOKUP($B29,Summary!$G$18:$P$49,10,0)</f>
        <v>2789</v>
      </c>
      <c r="L29" s="7">
        <f t="shared" si="5"/>
        <v>0.40555474770975714</v>
      </c>
      <c r="M29" s="6">
        <f>IFERROR(SUMIFS(flu_eng[nfl_staff],flu_eng[trust_code],$B29),"-")</f>
        <v>2989</v>
      </c>
      <c r="N29" s="6">
        <f>IFERROR(SUMIFS(flu_eng[nfl_doses],flu_eng[trust_code],$B29),"-")</f>
        <v>1111</v>
      </c>
      <c r="O29" s="7">
        <f t="shared" si="6"/>
        <v>0.37169621947139514</v>
      </c>
      <c r="P29" s="2">
        <f t="shared" si="7"/>
        <v>9</v>
      </c>
      <c r="R29" s="2">
        <v>12</v>
      </c>
      <c r="T29" s="5" t="str">
        <f t="shared" si="8"/>
        <v>BHR</v>
      </c>
      <c r="U29" s="6">
        <f t="shared" si="9"/>
        <v>6933</v>
      </c>
      <c r="V29" s="6">
        <f t="shared" si="10"/>
        <v>2732</v>
      </c>
      <c r="W29" s="7">
        <f t="shared" si="18"/>
        <v>0.39405740660608685</v>
      </c>
      <c r="X29" s="6">
        <f t="shared" si="19"/>
        <v>4201</v>
      </c>
      <c r="Y29" s="7">
        <f t="shared" si="11"/>
        <v>0.409346603202077</v>
      </c>
      <c r="Z29" s="7">
        <f t="shared" si="20"/>
        <v>-1.5289196595990151E-2</v>
      </c>
      <c r="AA29" s="6">
        <f t="shared" si="12"/>
        <v>1842</v>
      </c>
      <c r="AB29" s="6">
        <f t="shared" si="13"/>
        <v>530</v>
      </c>
      <c r="AC29" s="7">
        <f t="shared" si="21"/>
        <v>0.28773072747014117</v>
      </c>
      <c r="AD29" s="23"/>
      <c r="AE29" s="30">
        <f t="shared" si="14"/>
        <v>0.48913520299999902</v>
      </c>
      <c r="AF29" s="28">
        <f t="shared" si="22"/>
        <v>659.17436239899325</v>
      </c>
      <c r="AH29" s="5" t="str">
        <f t="shared" si="15"/>
        <v>St George's</v>
      </c>
      <c r="AI29" s="6">
        <f t="shared" si="16"/>
        <v>6877</v>
      </c>
      <c r="AJ29" s="6">
        <f t="shared" si="16"/>
        <v>2846</v>
      </c>
      <c r="AK29" s="7">
        <f t="shared" si="16"/>
        <v>0.41384324560127961</v>
      </c>
      <c r="AL29" s="6">
        <f t="shared" si="23"/>
        <v>4031</v>
      </c>
      <c r="AM29" s="7">
        <f t="shared" si="24"/>
        <v>0.40555474770975714</v>
      </c>
      <c r="AN29" s="7">
        <f t="shared" si="25"/>
        <v>8.2884978915224727E-3</v>
      </c>
      <c r="AO29" s="6">
        <f t="shared" si="17"/>
        <v>2989</v>
      </c>
      <c r="AP29" s="6">
        <f t="shared" si="17"/>
        <v>1111</v>
      </c>
      <c r="AQ29" s="7">
        <f t="shared" si="17"/>
        <v>0.37169621947139514</v>
      </c>
      <c r="AR29" s="23"/>
      <c r="AS29" s="30">
        <f t="shared" si="26"/>
        <v>0.46521953999999999</v>
      </c>
      <c r="AT29" s="28">
        <f t="shared" si="27"/>
        <v>353.31477657999994</v>
      </c>
      <c r="AV29" s="6">
        <v>47</v>
      </c>
      <c r="AW29" s="49">
        <v>45978</v>
      </c>
      <c r="AX29" s="49">
        <v>45984</v>
      </c>
    </row>
    <row r="30" spans="2:50" x14ac:dyDescent="0.35">
      <c r="B30" s="5" t="s">
        <v>176</v>
      </c>
      <c r="C30" s="5" t="s">
        <v>177</v>
      </c>
      <c r="D30" s="5" t="s">
        <v>178</v>
      </c>
      <c r="E30" s="5" t="str">
        <f>VLOOKUP($B30,trust_lookup[],4,0)</f>
        <v>Acute</v>
      </c>
      <c r="F30" s="5" t="s">
        <v>192</v>
      </c>
      <c r="G30" s="6">
        <f>VLOOKUP($B30,Summary!$G$18:$P$49,6,0)</f>
        <v>3046</v>
      </c>
      <c r="H30" s="6">
        <f>VLOOKUP($B30,Summary!$G$18:$P$49,7,0)</f>
        <v>1044</v>
      </c>
      <c r="I30" s="7">
        <f t="shared" si="4"/>
        <v>0.34274458305975047</v>
      </c>
      <c r="J30" s="7">
        <f>SUMIFS(flu_eng[fl_5%_target],flu_eng[trust_code],$B30)</f>
        <v>0.35087919200000001</v>
      </c>
      <c r="K30" s="6">
        <f>VLOOKUP($B30,Summary!$G$18:$P$49,10,0)</f>
        <v>912</v>
      </c>
      <c r="L30" s="7">
        <f t="shared" si="5"/>
        <v>0.29940906106369009</v>
      </c>
      <c r="M30" s="6">
        <f>IFERROR(SUMIFS(flu_eng[nfl_staff],flu_eng[trust_code],$B30),"-")</f>
        <v>629</v>
      </c>
      <c r="N30" s="6">
        <f>IFERROR(SUMIFS(flu_eng[nfl_doses],flu_eng[trust_code],$B30),"-")</f>
        <v>256</v>
      </c>
      <c r="O30" s="7">
        <f t="shared" si="6"/>
        <v>0.40699523052464232</v>
      </c>
      <c r="P30" s="2">
        <f t="shared" si="7"/>
        <v>17</v>
      </c>
      <c r="R30" s="2">
        <v>13</v>
      </c>
      <c r="T30" s="5" t="str">
        <f t="shared" si="8"/>
        <v>Imperial</v>
      </c>
      <c r="U30" s="6">
        <f t="shared" si="9"/>
        <v>11552</v>
      </c>
      <c r="V30" s="6">
        <f t="shared" si="10"/>
        <v>4333</v>
      </c>
      <c r="W30" s="7">
        <f t="shared" si="18"/>
        <v>0.37508656509695293</v>
      </c>
      <c r="X30" s="6">
        <f t="shared" si="19"/>
        <v>7219</v>
      </c>
      <c r="Y30" s="7">
        <f t="shared" si="11"/>
        <v>0.31120152354570635</v>
      </c>
      <c r="Z30" s="7">
        <f t="shared" si="20"/>
        <v>6.388504155124658E-2</v>
      </c>
      <c r="AA30" s="6">
        <f t="shared" si="12"/>
        <v>4047</v>
      </c>
      <c r="AB30" s="6">
        <f t="shared" si="13"/>
        <v>1225</v>
      </c>
      <c r="AC30" s="7">
        <f t="shared" si="21"/>
        <v>0.30269335310106249</v>
      </c>
      <c r="AD30" s="23"/>
      <c r="AE30" s="30">
        <f t="shared" si="14"/>
        <v>0.36846209599999902</v>
      </c>
      <c r="AF30" s="28">
        <f t="shared" si="22"/>
        <v>-76.525867008011119</v>
      </c>
      <c r="AH30" s="5" t="str">
        <f t="shared" si="15"/>
        <v>Hillingdon</v>
      </c>
      <c r="AI30" s="6">
        <f t="shared" si="16"/>
        <v>3046</v>
      </c>
      <c r="AJ30" s="6">
        <f t="shared" si="16"/>
        <v>1044</v>
      </c>
      <c r="AK30" s="7">
        <f t="shared" si="16"/>
        <v>0.34274458305975047</v>
      </c>
      <c r="AL30" s="6">
        <f t="shared" si="23"/>
        <v>2002</v>
      </c>
      <c r="AM30" s="7">
        <f t="shared" si="24"/>
        <v>0.29940906106369009</v>
      </c>
      <c r="AN30" s="7">
        <f t="shared" si="25"/>
        <v>4.3335521996060389E-2</v>
      </c>
      <c r="AO30" s="6">
        <f t="shared" si="17"/>
        <v>629</v>
      </c>
      <c r="AP30" s="6">
        <f t="shared" si="17"/>
        <v>256</v>
      </c>
      <c r="AQ30" s="7">
        <f t="shared" si="17"/>
        <v>0.40699523052464232</v>
      </c>
      <c r="AR30" s="23"/>
      <c r="AS30" s="30">
        <f t="shared" si="26"/>
        <v>0.35087919200000001</v>
      </c>
      <c r="AT30" s="28">
        <f t="shared" si="27"/>
        <v>24.778018832000043</v>
      </c>
      <c r="AV30" s="6">
        <v>48</v>
      </c>
      <c r="AW30" s="49">
        <v>45985</v>
      </c>
      <c r="AX30" s="49">
        <v>45991</v>
      </c>
    </row>
    <row r="31" spans="2:50" x14ac:dyDescent="0.35">
      <c r="B31" s="5" t="s">
        <v>182</v>
      </c>
      <c r="C31" s="5" t="s">
        <v>183</v>
      </c>
      <c r="D31" s="5" t="s">
        <v>184</v>
      </c>
      <c r="E31" s="5" t="str">
        <f>VLOOKUP($B31,trust_lookup[],4,0)</f>
        <v>Acute</v>
      </c>
      <c r="F31" s="5" t="s">
        <v>27</v>
      </c>
      <c r="G31" s="6">
        <f>VLOOKUP($B31,Summary!$G$18:$P$49,6,0)</f>
        <v>8259</v>
      </c>
      <c r="H31" s="6">
        <f>VLOOKUP($B31,Summary!$G$18:$P$49,7,0)</f>
        <v>3646</v>
      </c>
      <c r="I31" s="7">
        <f t="shared" si="4"/>
        <v>0.44145780360818498</v>
      </c>
      <c r="J31" s="7">
        <f>SUMIFS(flu_eng[fl_5%_target],flu_eng[trust_code],$B31)</f>
        <v>0.445920969</v>
      </c>
      <c r="K31" s="6">
        <f>VLOOKUP($B31,Summary!$G$18:$P$49,10,0)</f>
        <v>3205</v>
      </c>
      <c r="L31" s="7">
        <f t="shared" si="5"/>
        <v>0.38806150865722244</v>
      </c>
      <c r="M31" s="6">
        <f>IFERROR(SUMIFS(flu_eng[nfl_staff],flu_eng[trust_code],$B31),"-")</f>
        <v>2981</v>
      </c>
      <c r="N31" s="6">
        <f>IFERROR(SUMIFS(flu_eng[nfl_doses],flu_eng[trust_code],$B31),"-")</f>
        <v>997</v>
      </c>
      <c r="O31" s="7">
        <f t="shared" si="6"/>
        <v>0.33445152633344516</v>
      </c>
      <c r="P31" s="2">
        <f t="shared" si="7"/>
        <v>6</v>
      </c>
      <c r="R31" s="2">
        <v>14</v>
      </c>
      <c r="T31" s="5" t="str">
        <f t="shared" si="8"/>
        <v>Royal Free</v>
      </c>
      <c r="U31" s="6">
        <f t="shared" si="9"/>
        <v>18776</v>
      </c>
      <c r="V31" s="6">
        <f t="shared" si="10"/>
        <v>6979</v>
      </c>
      <c r="W31" s="7">
        <f t="shared" si="18"/>
        <v>0.37169791222837667</v>
      </c>
      <c r="X31" s="6">
        <f t="shared" si="19"/>
        <v>11797</v>
      </c>
      <c r="Y31" s="7">
        <f t="shared" si="11"/>
        <v>0.3038453344695356</v>
      </c>
      <c r="Z31" s="7">
        <f t="shared" si="20"/>
        <v>6.7852577758841071E-2</v>
      </c>
      <c r="AA31" s="6">
        <f t="shared" si="12"/>
        <v>1957</v>
      </c>
      <c r="AB31" s="6">
        <f t="shared" si="13"/>
        <v>664</v>
      </c>
      <c r="AC31" s="7">
        <f t="shared" si="21"/>
        <v>0.33929483903934593</v>
      </c>
      <c r="AD31" s="23"/>
      <c r="AE31" s="30">
        <f t="shared" si="14"/>
        <v>0.35984664599999999</v>
      </c>
      <c r="AF31" s="28">
        <f t="shared" si="22"/>
        <v>-222.51937470400026</v>
      </c>
      <c r="AH31" s="5" t="str">
        <f t="shared" si="15"/>
        <v>UCLH</v>
      </c>
      <c r="AI31" s="6">
        <f t="shared" si="16"/>
        <v>8259</v>
      </c>
      <c r="AJ31" s="6">
        <f t="shared" si="16"/>
        <v>3646</v>
      </c>
      <c r="AK31" s="7">
        <f t="shared" si="16"/>
        <v>0.44145780360818498</v>
      </c>
      <c r="AL31" s="6">
        <f t="shared" si="23"/>
        <v>4613</v>
      </c>
      <c r="AM31" s="7">
        <f t="shared" si="24"/>
        <v>0.38806150865722244</v>
      </c>
      <c r="AN31" s="7">
        <f t="shared" si="25"/>
        <v>5.3396294950962542E-2</v>
      </c>
      <c r="AO31" s="6">
        <f t="shared" si="17"/>
        <v>2981</v>
      </c>
      <c r="AP31" s="6">
        <f t="shared" si="17"/>
        <v>997</v>
      </c>
      <c r="AQ31" s="7">
        <f t="shared" si="17"/>
        <v>0.33445152633344516</v>
      </c>
      <c r="AR31" s="23"/>
      <c r="AS31" s="30">
        <f t="shared" si="26"/>
        <v>0.445920969</v>
      </c>
      <c r="AT31" s="28">
        <f t="shared" si="27"/>
        <v>36.861282971000037</v>
      </c>
      <c r="AV31" s="6">
        <v>49</v>
      </c>
      <c r="AW31" s="49">
        <v>45992</v>
      </c>
      <c r="AX31" s="49">
        <v>45998</v>
      </c>
    </row>
    <row r="32" spans="2:50" x14ac:dyDescent="0.35">
      <c r="B32" s="5" t="s">
        <v>62</v>
      </c>
      <c r="C32" s="5" t="s">
        <v>63</v>
      </c>
      <c r="D32" s="5" t="s">
        <v>64</v>
      </c>
      <c r="E32" s="5" t="str">
        <f>VLOOKUP($B32,trust_lookup[],4,0)</f>
        <v>Acute &amp; Community</v>
      </c>
      <c r="F32" s="5" t="s">
        <v>194</v>
      </c>
      <c r="G32" s="6">
        <f>VLOOKUP($B32,Summary!$G$18:$P$49,6,0)</f>
        <v>3343</v>
      </c>
      <c r="H32" s="6">
        <f>VLOOKUP($B32,Summary!$G$18:$P$49,7,0)</f>
        <v>1351</v>
      </c>
      <c r="I32" s="7">
        <f t="shared" si="4"/>
        <v>0.40412802871672149</v>
      </c>
      <c r="J32" s="7">
        <f>SUMIFS(flu_eng[fl_5%_target],flu_eng[trust_code],$B32)</f>
        <v>0.45672782899999997</v>
      </c>
      <c r="K32" s="6">
        <f>VLOOKUP($B32,Summary!$G$18:$P$49,10,0)</f>
        <v>1304</v>
      </c>
      <c r="L32" s="7">
        <f t="shared" si="5"/>
        <v>0.39006880047861203</v>
      </c>
      <c r="M32" s="6">
        <f>IFERROR(SUMIFS(flu_eng[nfl_staff],flu_eng[trust_code],$B32),"-")</f>
        <v>1177</v>
      </c>
      <c r="N32" s="6">
        <f>IFERROR(SUMIFS(flu_eng[nfl_doses],flu_eng[trust_code],$B32),"-")</f>
        <v>442</v>
      </c>
      <c r="O32" s="7">
        <f t="shared" si="6"/>
        <v>0.37553101104502973</v>
      </c>
      <c r="P32" s="2">
        <f t="shared" si="7"/>
        <v>10</v>
      </c>
      <c r="R32" s="2">
        <v>15</v>
      </c>
      <c r="T32" s="5" t="str">
        <f t="shared" si="8"/>
        <v>L&amp;G</v>
      </c>
      <c r="U32" s="6">
        <f t="shared" si="9"/>
        <v>6569</v>
      </c>
      <c r="V32" s="6">
        <f t="shared" si="10"/>
        <v>2310</v>
      </c>
      <c r="W32" s="7">
        <f t="shared" si="18"/>
        <v>0.35165169736641805</v>
      </c>
      <c r="X32" s="6">
        <f t="shared" si="19"/>
        <v>4259</v>
      </c>
      <c r="Y32" s="7">
        <f t="shared" si="11"/>
        <v>0.29380423199878214</v>
      </c>
      <c r="Z32" s="7">
        <f t="shared" si="20"/>
        <v>5.7847465367635909E-2</v>
      </c>
      <c r="AA32" s="6">
        <f t="shared" si="12"/>
        <v>1472</v>
      </c>
      <c r="AB32" s="6">
        <f t="shared" si="13"/>
        <v>453</v>
      </c>
      <c r="AC32" s="7">
        <f t="shared" si="21"/>
        <v>0.3077445652173913</v>
      </c>
      <c r="AD32" s="23"/>
      <c r="AE32" s="30">
        <f t="shared" si="14"/>
        <v>0.35655045600000002</v>
      </c>
      <c r="AF32" s="28">
        <f t="shared" si="22"/>
        <v>32.179945463999957</v>
      </c>
      <c r="AH32" s="5" t="str">
        <f t="shared" si="15"/>
        <v>Croydon</v>
      </c>
      <c r="AI32" s="6">
        <f t="shared" si="16"/>
        <v>3343</v>
      </c>
      <c r="AJ32" s="6">
        <f t="shared" si="16"/>
        <v>1351</v>
      </c>
      <c r="AK32" s="7">
        <f t="shared" si="16"/>
        <v>0.40412802871672149</v>
      </c>
      <c r="AL32" s="6">
        <f t="shared" si="23"/>
        <v>1992</v>
      </c>
      <c r="AM32" s="7">
        <f t="shared" si="24"/>
        <v>0.39006880047861203</v>
      </c>
      <c r="AN32" s="7">
        <f t="shared" si="25"/>
        <v>1.4059228238109456E-2</v>
      </c>
      <c r="AO32" s="6">
        <f t="shared" si="17"/>
        <v>1177</v>
      </c>
      <c r="AP32" s="6">
        <f t="shared" si="17"/>
        <v>442</v>
      </c>
      <c r="AQ32" s="7">
        <f t="shared" si="17"/>
        <v>0.37553101104502973</v>
      </c>
      <c r="AR32" s="23"/>
      <c r="AS32" s="30">
        <f t="shared" si="26"/>
        <v>0.45672782899999997</v>
      </c>
      <c r="AT32" s="28">
        <f t="shared" si="27"/>
        <v>175.84113234699998</v>
      </c>
      <c r="AV32" s="6">
        <v>50</v>
      </c>
      <c r="AW32" s="49">
        <v>45999</v>
      </c>
      <c r="AX32" s="49">
        <v>46005</v>
      </c>
    </row>
    <row r="33" spans="2:50" x14ac:dyDescent="0.35">
      <c r="B33" s="5" t="s">
        <v>113</v>
      </c>
      <c r="C33" s="5" t="s">
        <v>114</v>
      </c>
      <c r="D33" s="5" t="s">
        <v>115</v>
      </c>
      <c r="E33" s="5" t="str">
        <f>VLOOKUP($B33,trust_lookup[],4,0)</f>
        <v>Acute &amp; Community</v>
      </c>
      <c r="F33" s="5" t="s">
        <v>194</v>
      </c>
      <c r="G33" s="6">
        <f>VLOOKUP($B33,Summary!$G$18:$P$49,6,0)</f>
        <v>3808</v>
      </c>
      <c r="H33" s="6">
        <f>VLOOKUP($B33,Summary!$G$18:$P$49,7,0)</f>
        <v>1766</v>
      </c>
      <c r="I33" s="7">
        <f t="shared" si="4"/>
        <v>0.46376050420168069</v>
      </c>
      <c r="J33" s="7">
        <f>SUMIFS(flu_eng[fl_5%_target],flu_eng[trust_code],$B33)</f>
        <v>0.486503719</v>
      </c>
      <c r="K33" s="6">
        <f>VLOOKUP($B33,Summary!$G$18:$P$49,10,0)</f>
        <v>1645</v>
      </c>
      <c r="L33" s="7">
        <f t="shared" si="5"/>
        <v>0.43198529411764708</v>
      </c>
      <c r="M33" s="6">
        <f>IFERROR(SUMIFS(flu_eng[nfl_staff],flu_eng[trust_code],$B33),"-")</f>
        <v>1128</v>
      </c>
      <c r="N33" s="6">
        <f>IFERROR(SUMIFS(flu_eng[nfl_doses],flu_eng[trust_code],$B33),"-")</f>
        <v>470</v>
      </c>
      <c r="O33" s="7">
        <f t="shared" si="6"/>
        <v>0.41666666666666669</v>
      </c>
      <c r="P33" s="2">
        <f t="shared" si="7"/>
        <v>1</v>
      </c>
      <c r="R33" s="2">
        <v>16</v>
      </c>
      <c r="T33" s="5" t="str">
        <f t="shared" si="8"/>
        <v>Barts</v>
      </c>
      <c r="U33" s="6">
        <f t="shared" si="9"/>
        <v>21363</v>
      </c>
      <c r="V33" s="6">
        <f t="shared" si="10"/>
        <v>7369</v>
      </c>
      <c r="W33" s="7">
        <f t="shared" si="18"/>
        <v>0.34494218976735475</v>
      </c>
      <c r="X33" s="6">
        <f t="shared" si="19"/>
        <v>13994</v>
      </c>
      <c r="Y33" s="7">
        <f t="shared" si="11"/>
        <v>0.27116977952534754</v>
      </c>
      <c r="Z33" s="7">
        <f t="shared" si="20"/>
        <v>7.3772410242007203E-2</v>
      </c>
      <c r="AA33" s="6">
        <f t="shared" si="12"/>
        <v>4748</v>
      </c>
      <c r="AB33" s="6">
        <f t="shared" si="13"/>
        <v>1319</v>
      </c>
      <c r="AC33" s="7">
        <f t="shared" si="21"/>
        <v>0.27780117944397642</v>
      </c>
      <c r="AD33" s="23"/>
      <c r="AE33" s="30">
        <f t="shared" si="14"/>
        <v>0.321445602</v>
      </c>
      <c r="AF33" s="28">
        <f t="shared" si="22"/>
        <v>-501.95760447399971</v>
      </c>
      <c r="AH33" s="5" t="str">
        <f t="shared" si="15"/>
        <v>K&amp;R FT</v>
      </c>
      <c r="AI33" s="6">
        <f t="shared" si="16"/>
        <v>3808</v>
      </c>
      <c r="AJ33" s="6">
        <f t="shared" si="16"/>
        <v>1766</v>
      </c>
      <c r="AK33" s="7">
        <f t="shared" si="16"/>
        <v>0.46376050420168069</v>
      </c>
      <c r="AL33" s="6">
        <f t="shared" si="23"/>
        <v>2042</v>
      </c>
      <c r="AM33" s="7">
        <f t="shared" si="24"/>
        <v>0.43198529411764708</v>
      </c>
      <c r="AN33" s="7">
        <f t="shared" si="25"/>
        <v>3.1775210084033612E-2</v>
      </c>
      <c r="AO33" s="6">
        <f t="shared" si="17"/>
        <v>1128</v>
      </c>
      <c r="AP33" s="6">
        <f t="shared" si="17"/>
        <v>470</v>
      </c>
      <c r="AQ33" s="7">
        <f t="shared" si="17"/>
        <v>0.41666666666666669</v>
      </c>
      <c r="AR33" s="23"/>
      <c r="AS33" s="30">
        <f t="shared" si="26"/>
        <v>0.486503719</v>
      </c>
      <c r="AT33" s="28">
        <f t="shared" si="27"/>
        <v>86.606161952000093</v>
      </c>
      <c r="AV33" s="6">
        <v>51</v>
      </c>
      <c r="AW33" s="49">
        <v>46006</v>
      </c>
      <c r="AX33" s="49">
        <v>46012</v>
      </c>
    </row>
    <row r="34" spans="2:50" x14ac:dyDescent="0.35">
      <c r="B34" s="5" t="s">
        <v>185</v>
      </c>
      <c r="C34" s="5" t="s">
        <v>186</v>
      </c>
      <c r="D34" s="5" t="s">
        <v>191</v>
      </c>
      <c r="E34" s="5" t="str">
        <f>VLOOKUP($B34,trust_lookup[],4,0)</f>
        <v>Acute &amp; Community</v>
      </c>
      <c r="F34" s="5" t="s">
        <v>27</v>
      </c>
      <c r="G34" s="6">
        <f>VLOOKUP($B34,Summary!$G$18:$P$49,6,0)</f>
        <v>2969</v>
      </c>
      <c r="H34" s="6">
        <f>VLOOKUP($B34,Summary!$G$18:$P$49,7,0)</f>
        <v>1185</v>
      </c>
      <c r="I34" s="7">
        <f t="shared" si="4"/>
        <v>0.39912428427079827</v>
      </c>
      <c r="J34" s="7">
        <f>SUMIFS(flu_eng[fl_5%_target],flu_eng[trust_code],$B34)</f>
        <v>0.39853195199999902</v>
      </c>
      <c r="K34" s="6">
        <f>VLOOKUP($B34,Summary!$G$18:$P$49,10,0)</f>
        <v>1027</v>
      </c>
      <c r="L34" s="7">
        <f t="shared" si="5"/>
        <v>0.34590771303469181</v>
      </c>
      <c r="M34" s="6">
        <f>IFERROR(SUMIFS(flu_eng[nfl_staff],flu_eng[trust_code],$B34),"-")</f>
        <v>1632</v>
      </c>
      <c r="N34" s="6">
        <f>IFERROR(SUMIFS(flu_eng[nfl_doses],flu_eng[trust_code],$B34),"-")</f>
        <v>519</v>
      </c>
      <c r="O34" s="7">
        <f t="shared" si="6"/>
        <v>0.31801470588235292</v>
      </c>
      <c r="P34" s="2">
        <f t="shared" si="7"/>
        <v>11</v>
      </c>
      <c r="R34" s="2">
        <v>17</v>
      </c>
      <c r="T34" s="5" t="str">
        <f t="shared" si="8"/>
        <v>Hillingdon</v>
      </c>
      <c r="U34" s="6">
        <f t="shared" si="9"/>
        <v>3046</v>
      </c>
      <c r="V34" s="6">
        <f t="shared" si="10"/>
        <v>1044</v>
      </c>
      <c r="W34" s="7">
        <f t="shared" si="18"/>
        <v>0.34274458305975047</v>
      </c>
      <c r="X34" s="6">
        <f t="shared" si="19"/>
        <v>2002</v>
      </c>
      <c r="Y34" s="7">
        <f t="shared" si="11"/>
        <v>0.29940906106369009</v>
      </c>
      <c r="Z34" s="7">
        <f t="shared" si="20"/>
        <v>4.3335521996060389E-2</v>
      </c>
      <c r="AA34" s="6">
        <f t="shared" si="12"/>
        <v>629</v>
      </c>
      <c r="AB34" s="6">
        <f t="shared" si="13"/>
        <v>256</v>
      </c>
      <c r="AC34" s="7">
        <f t="shared" si="21"/>
        <v>0.40699523052464232</v>
      </c>
      <c r="AD34" s="23"/>
      <c r="AE34" s="30">
        <f t="shared" si="14"/>
        <v>0.35087919200000001</v>
      </c>
      <c r="AF34" s="28">
        <f t="shared" si="22"/>
        <v>24.778018832000043</v>
      </c>
      <c r="AH34" s="5" t="str">
        <f t="shared" si="15"/>
        <v>Whittington</v>
      </c>
      <c r="AI34" s="6">
        <f t="shared" si="16"/>
        <v>2969</v>
      </c>
      <c r="AJ34" s="6">
        <f t="shared" si="16"/>
        <v>1185</v>
      </c>
      <c r="AK34" s="7">
        <f t="shared" si="16"/>
        <v>0.39912428427079827</v>
      </c>
      <c r="AL34" s="6">
        <f t="shared" si="23"/>
        <v>1784</v>
      </c>
      <c r="AM34" s="7">
        <f t="shared" si="24"/>
        <v>0.34590771303469181</v>
      </c>
      <c r="AN34" s="7">
        <f t="shared" si="25"/>
        <v>5.3216571236106458E-2</v>
      </c>
      <c r="AO34" s="6">
        <f t="shared" ref="AO34:AQ34" si="28">M34</f>
        <v>1632</v>
      </c>
      <c r="AP34" s="6">
        <f t="shared" si="28"/>
        <v>519</v>
      </c>
      <c r="AQ34" s="7">
        <f t="shared" si="28"/>
        <v>0.31801470588235292</v>
      </c>
      <c r="AR34" s="23"/>
      <c r="AS34" s="30">
        <f t="shared" si="26"/>
        <v>0.39853195199999902</v>
      </c>
      <c r="AT34" s="28">
        <f t="shared" si="27"/>
        <v>-1.7586345120028</v>
      </c>
      <c r="AV34" s="6">
        <v>52</v>
      </c>
      <c r="AW34" s="49">
        <v>46013</v>
      </c>
      <c r="AX34" s="49">
        <v>46019</v>
      </c>
    </row>
    <row r="35" spans="2:50" x14ac:dyDescent="0.35">
      <c r="AV35" s="6">
        <v>1</v>
      </c>
      <c r="AW35" s="49">
        <v>46020</v>
      </c>
      <c r="AX35" s="49">
        <v>46026</v>
      </c>
    </row>
    <row r="36" spans="2:50" x14ac:dyDescent="0.35">
      <c r="AV36" s="6">
        <v>2</v>
      </c>
      <c r="AW36" s="49">
        <v>46027</v>
      </c>
      <c r="AX36" s="49">
        <v>46033</v>
      </c>
    </row>
    <row r="37" spans="2:50" x14ac:dyDescent="0.35">
      <c r="AV37" s="6">
        <v>3</v>
      </c>
      <c r="AW37" s="49">
        <v>46034</v>
      </c>
      <c r="AX37" s="49">
        <v>46040</v>
      </c>
    </row>
    <row r="38" spans="2:50" x14ac:dyDescent="0.35">
      <c r="AV38" s="6">
        <v>4</v>
      </c>
      <c r="AW38" s="49">
        <v>46041</v>
      </c>
      <c r="AX38" s="49">
        <v>46047</v>
      </c>
    </row>
    <row r="39" spans="2:50" x14ac:dyDescent="0.35">
      <c r="AV39" s="6">
        <v>5</v>
      </c>
      <c r="AW39" s="49">
        <v>46048</v>
      </c>
      <c r="AX39" s="49">
        <v>46054</v>
      </c>
    </row>
    <row r="40" spans="2:50" x14ac:dyDescent="0.35">
      <c r="AV40" s="6">
        <v>6</v>
      </c>
      <c r="AW40" s="49">
        <v>46055</v>
      </c>
      <c r="AX40" s="49">
        <v>46061</v>
      </c>
    </row>
    <row r="41" spans="2:50" x14ac:dyDescent="0.35">
      <c r="AV41" s="6">
        <v>7</v>
      </c>
      <c r="AW41" s="49">
        <v>46062</v>
      </c>
      <c r="AX41" s="49">
        <v>46068</v>
      </c>
    </row>
    <row r="42" spans="2:50" x14ac:dyDescent="0.35">
      <c r="AV42" s="6">
        <v>8</v>
      </c>
      <c r="AW42" s="49">
        <v>46069</v>
      </c>
      <c r="AX42" s="49">
        <v>46075</v>
      </c>
    </row>
    <row r="43" spans="2:50" x14ac:dyDescent="0.35">
      <c r="AV43" s="6">
        <v>9</v>
      </c>
      <c r="AW43" s="49">
        <v>46076</v>
      </c>
      <c r="AX43" s="49">
        <v>46082</v>
      </c>
    </row>
    <row r="44" spans="2:50" x14ac:dyDescent="0.35">
      <c r="AV44" s="6">
        <v>10</v>
      </c>
      <c r="AW44" s="49">
        <v>46083</v>
      </c>
      <c r="AX44" s="49">
        <v>46089</v>
      </c>
    </row>
    <row r="45" spans="2:50" x14ac:dyDescent="0.35">
      <c r="AV45" s="6">
        <v>11</v>
      </c>
      <c r="AW45" s="49">
        <v>46090</v>
      </c>
      <c r="AX45" s="49">
        <v>46096</v>
      </c>
    </row>
    <row r="46" spans="2:50" x14ac:dyDescent="0.35">
      <c r="AV46" s="6">
        <v>12</v>
      </c>
      <c r="AW46" s="49">
        <v>46097</v>
      </c>
      <c r="AX46" s="49">
        <v>46103</v>
      </c>
    </row>
    <row r="47" spans="2:50" x14ac:dyDescent="0.35">
      <c r="AV47" s="6">
        <v>13</v>
      </c>
      <c r="AW47" s="49">
        <v>46104</v>
      </c>
      <c r="AX47" s="49">
        <v>46110</v>
      </c>
    </row>
    <row r="52" ht="29.15" customHeight="1" x14ac:dyDescent="0.35"/>
    <row r="63" ht="29.15" customHeight="1" x14ac:dyDescent="0.35"/>
  </sheetData>
  <sortState xmlns:xlrd2="http://schemas.microsoft.com/office/spreadsheetml/2017/richdata2" ref="B18:O34">
    <sortCondition ref="E18:E34"/>
    <sortCondition ref="C18:C34"/>
  </sortState>
  <mergeCells count="1">
    <mergeCell ref="T4:V4"/>
  </mergeCells>
  <conditionalFormatting sqref="W9:W13">
    <cfRule type="colorScale" priority="8">
      <colorScale>
        <cfvo type="min"/>
        <cfvo type="max"/>
        <color rgb="FFFFEF9C"/>
        <color rgb="FF63BE7B"/>
      </colorScale>
    </cfRule>
  </conditionalFormatting>
  <conditionalFormatting sqref="W18:W34">
    <cfRule type="colorScale" priority="31">
      <colorScale>
        <cfvo type="min"/>
        <cfvo type="max"/>
        <color rgb="FFFFEF9C"/>
        <color rgb="FF63BE7B"/>
      </colorScale>
    </cfRule>
  </conditionalFormatting>
  <conditionalFormatting sqref="Y9:Y13">
    <cfRule type="colorScale" priority="6">
      <colorScale>
        <cfvo type="min"/>
        <cfvo type="max"/>
        <color rgb="FFFFEF9C"/>
        <color rgb="FF63BE7B"/>
      </colorScale>
    </cfRule>
  </conditionalFormatting>
  <conditionalFormatting sqref="Y18:Y34">
    <cfRule type="colorScale" priority="32">
      <colorScale>
        <cfvo type="min"/>
        <cfvo type="max"/>
        <color rgb="FFFFEF9C"/>
        <color rgb="FF63BE7B"/>
      </colorScale>
    </cfRule>
  </conditionalFormatting>
  <conditionalFormatting sqref="Z9:Z14 Z18:Z34 AN18:AN34">
    <cfRule type="cellIs" dxfId="16" priority="1" operator="greaterThanOrEqual">
      <formula>5%</formula>
    </cfRule>
    <cfRule type="cellIs" dxfId="15" priority="2" operator="between">
      <formula>0%</formula>
      <formula>5%</formula>
    </cfRule>
    <cfRule type="cellIs" dxfId="14" priority="3" operator="lessThan">
      <formula>0%</formula>
    </cfRule>
  </conditionalFormatting>
  <conditionalFormatting sqref="AK18:AK34">
    <cfRule type="colorScale" priority="33">
      <colorScale>
        <cfvo type="min"/>
        <cfvo type="max"/>
        <color rgb="FFFFEF9C"/>
        <color rgb="FF63BE7B"/>
      </colorScale>
    </cfRule>
  </conditionalFormatting>
  <conditionalFormatting sqref="AM18:AM34">
    <cfRule type="colorScale" priority="34">
      <colorScale>
        <cfvo type="min"/>
        <cfvo type="max"/>
        <color rgb="FFFFEF9C"/>
        <color rgb="FF63BE7B"/>
      </colorScale>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C30CF-5E84-48BA-BED9-E3994C9FD7E5}">
  <sheetPr>
    <tabColor theme="7"/>
  </sheetPr>
  <dimension ref="B2:AX63"/>
  <sheetViews>
    <sheetView showGridLines="0" zoomScale="90" zoomScaleNormal="90" workbookViewId="0"/>
  </sheetViews>
  <sheetFormatPr defaultColWidth="8.54296875" defaultRowHeight="14.5" outlineLevelCol="1" x14ac:dyDescent="0.35"/>
  <cols>
    <col min="1" max="1" width="8.54296875" style="2"/>
    <col min="2" max="2" width="10.81640625" style="2" hidden="1" customWidth="1" outlineLevel="1"/>
    <col min="3" max="3" width="71.54296875" style="2" hidden="1" customWidth="1" outlineLevel="1"/>
    <col min="4" max="6" width="12.54296875" style="2" hidden="1" customWidth="1" outlineLevel="1"/>
    <col min="7" max="15" width="15.54296875" style="2" hidden="1" customWidth="1" outlineLevel="1"/>
    <col min="16" max="19" width="8.81640625" style="2" hidden="1" customWidth="1" outlineLevel="1"/>
    <col min="20" max="20" width="14" style="2" customWidth="1" collapsed="1"/>
    <col min="21" max="29" width="11.54296875" style="2" customWidth="1"/>
    <col min="30" max="30" width="0.81640625" style="2" customWidth="1"/>
    <col min="31" max="32" width="11.54296875" style="2" customWidth="1"/>
    <col min="33" max="33" width="2.81640625" style="2" customWidth="1"/>
    <col min="34" max="34" width="21.54296875" style="2" customWidth="1"/>
    <col min="35" max="43" width="11.54296875" style="2" customWidth="1"/>
    <col min="44" max="44" width="0.81640625" style="2" customWidth="1"/>
    <col min="45" max="46" width="11.54296875" style="2" customWidth="1"/>
    <col min="47" max="47" width="2.81640625" style="2" customWidth="1"/>
    <col min="48" max="50" width="11.54296875" style="2" customWidth="1"/>
    <col min="51" max="16384" width="8.54296875" style="2"/>
  </cols>
  <sheetData>
    <row r="2" spans="19:48" ht="26" x14ac:dyDescent="0.6">
      <c r="T2" s="11" t="s">
        <v>629</v>
      </c>
    </row>
    <row r="4" spans="19:48" x14ac:dyDescent="0.35">
      <c r="T4" s="81" t="s">
        <v>641</v>
      </c>
      <c r="U4" s="82"/>
      <c r="V4" s="83"/>
      <c r="X4" s="3"/>
    </row>
    <row r="5" spans="19:48" ht="29" x14ac:dyDescent="0.35">
      <c r="T5" s="45" t="s">
        <v>552</v>
      </c>
      <c r="U5" s="45" t="s">
        <v>553</v>
      </c>
      <c r="V5" s="45" t="s">
        <v>554</v>
      </c>
    </row>
    <row r="6" spans="19:48" x14ac:dyDescent="0.35">
      <c r="T6" s="8">
        <f>Summary!Y6</f>
        <v>9</v>
      </c>
      <c r="U6" s="51">
        <f>Summary!Z6</f>
        <v>46076</v>
      </c>
      <c r="V6" s="51">
        <f>Summary!AA6</f>
        <v>46082</v>
      </c>
    </row>
    <row r="8" spans="19:48" ht="46" customHeight="1" x14ac:dyDescent="0.35">
      <c r="T8" s="45" t="s">
        <v>544</v>
      </c>
      <c r="U8" s="45" t="s">
        <v>555</v>
      </c>
      <c r="V8" s="45" t="s">
        <v>556</v>
      </c>
      <c r="W8" s="45" t="s">
        <v>557</v>
      </c>
      <c r="X8" s="45" t="s">
        <v>558</v>
      </c>
      <c r="Y8" s="45" t="s">
        <v>559</v>
      </c>
      <c r="Z8" s="45" t="s">
        <v>560</v>
      </c>
      <c r="AA8" s="59" t="s">
        <v>561</v>
      </c>
      <c r="AB8" s="59" t="s">
        <v>562</v>
      </c>
      <c r="AC8" s="59" t="s">
        <v>563</v>
      </c>
      <c r="AD8" s="27"/>
      <c r="AE8" s="27"/>
      <c r="AF8" s="45" t="s">
        <v>564</v>
      </c>
    </row>
    <row r="9" spans="19:48" x14ac:dyDescent="0.35">
      <c r="S9" s="15"/>
      <c r="T9" s="5" t="s">
        <v>27</v>
      </c>
      <c r="U9" s="6">
        <f>SUMIFS($G$18:$G$30,$F$18:$F$30,$T9)</f>
        <v>14408</v>
      </c>
      <c r="V9" s="6">
        <f>SUMIFS($H$18:$H$30,$F$18:$F$30,$T9)</f>
        <v>5023</v>
      </c>
      <c r="W9" s="7">
        <f>IFERROR(V9/U9,"-")</f>
        <v>0.34862576346474183</v>
      </c>
      <c r="X9" s="6">
        <f>IFERROR(U9-V9,"-")</f>
        <v>9385</v>
      </c>
      <c r="Y9" s="7">
        <f>SUMIFS($K$18:$K$30,$F$18:$F$30,$T9)/SUMIFS($G$18:$G$30,$F$18:$F$30,$T9)</f>
        <v>0.28595224875069408</v>
      </c>
      <c r="Z9" s="7">
        <f>IFERROR(W9-Y9,"-")</f>
        <v>6.2673514714047751E-2</v>
      </c>
      <c r="AA9" s="6">
        <f>IFERROR(SUMIFS(flu_eng[nfl_staff],flu_eng[icb],$T9),"-")</f>
        <v>14204</v>
      </c>
      <c r="AB9" s="6">
        <f>IFERROR(SUMIFS(flu_eng[nfl_doses],flu_eng[icb],$T9),"-")</f>
        <v>5143</v>
      </c>
      <c r="AC9" s="7">
        <f>AB9/AA9</f>
        <v>0.3620811039143903</v>
      </c>
      <c r="AD9" s="23"/>
      <c r="AE9" s="23"/>
      <c r="AF9" s="52"/>
      <c r="AG9" s="55" t="s">
        <v>565</v>
      </c>
      <c r="AH9" s="54" t="s">
        <v>566</v>
      </c>
    </row>
    <row r="10" spans="19:48" x14ac:dyDescent="0.35">
      <c r="S10" s="15"/>
      <c r="T10" s="5" t="s">
        <v>190</v>
      </c>
      <c r="U10" s="6">
        <f>SUMIFS($G$18:$G$30,$F$18:$F$30,$T10)</f>
        <v>13219</v>
      </c>
      <c r="V10" s="6">
        <f>SUMIFS($H$18:$H$30,$F$18:$F$30,$T10)</f>
        <v>4283</v>
      </c>
      <c r="W10" s="7">
        <f t="shared" ref="W10:W14" si="0">IFERROR(V10/U10,"-")</f>
        <v>0.32400332854224978</v>
      </c>
      <c r="X10" s="6">
        <f t="shared" ref="X10:X14" si="1">IFERROR(U10-V10,"-")</f>
        <v>8936</v>
      </c>
      <c r="Y10" s="7">
        <f>SUMIFS($K$18:$K$30,$F$18:$F$30,$T10)/SUMIFS($G$18:$G$30,$F$18:$F$30,$T10)</f>
        <v>0.27596641198275212</v>
      </c>
      <c r="Z10" s="7">
        <f t="shared" ref="Z10:Z14" si="2">IFERROR(W10-Y10,"-")</f>
        <v>4.8036916559497655E-2</v>
      </c>
      <c r="AA10" s="6">
        <f>IFERROR(SUMIFS(flu_eng[nfl_staff],flu_eng[icb],$T10),"-")</f>
        <v>11016</v>
      </c>
      <c r="AB10" s="6">
        <f>IFERROR(SUMIFS(flu_eng[nfl_doses],flu_eng[icb],$T10),"-")</f>
        <v>3320</v>
      </c>
      <c r="AC10" s="7">
        <f t="shared" ref="AC10:AC14" si="3">AB10/AA10</f>
        <v>0.30137981118373275</v>
      </c>
      <c r="AD10" s="23"/>
      <c r="AE10" s="23"/>
      <c r="AF10" s="44"/>
      <c r="AG10" s="55" t="s">
        <v>565</v>
      </c>
      <c r="AH10" s="54" t="s">
        <v>567</v>
      </c>
    </row>
    <row r="11" spans="19:48" x14ac:dyDescent="0.35">
      <c r="S11" s="15"/>
      <c r="T11" s="5" t="s">
        <v>192</v>
      </c>
      <c r="U11" s="6">
        <f>SUMIFS($G$18:$G$30,$F$18:$F$30,$T11)</f>
        <v>8376</v>
      </c>
      <c r="V11" s="6">
        <f>SUMIFS($H$18:$H$30,$F$18:$F$30,$T11)</f>
        <v>3026</v>
      </c>
      <c r="W11" s="7">
        <f t="shared" si="0"/>
        <v>0.36127029608404965</v>
      </c>
      <c r="X11" s="6">
        <f t="shared" si="1"/>
        <v>5350</v>
      </c>
      <c r="Y11" s="7">
        <f>SUMIFS($K$18:$K$30,$F$18:$F$30,$T11)/SUMIFS($G$18:$G$30,$F$18:$F$30,$T11)</f>
        <v>0.29393505253104107</v>
      </c>
      <c r="Z11" s="7">
        <f t="shared" si="2"/>
        <v>6.7335243553008572E-2</v>
      </c>
      <c r="AA11" s="6">
        <f>IFERROR(SUMIFS(flu_eng[nfl_staff],flu_eng[icb],$T11),"-")</f>
        <v>16896</v>
      </c>
      <c r="AB11" s="6">
        <f>IFERROR(SUMIFS(flu_eng[nfl_doses],flu_eng[icb],$T11),"-")</f>
        <v>6046</v>
      </c>
      <c r="AC11" s="7">
        <f t="shared" si="3"/>
        <v>0.35783617424242425</v>
      </c>
      <c r="AD11" s="23"/>
      <c r="AE11" s="23"/>
      <c r="AF11" s="53"/>
      <c r="AG11" s="55" t="s">
        <v>565</v>
      </c>
      <c r="AH11" s="54" t="s">
        <v>568</v>
      </c>
    </row>
    <row r="12" spans="19:48" x14ac:dyDescent="0.35">
      <c r="S12" s="15"/>
      <c r="T12" s="5" t="s">
        <v>193</v>
      </c>
      <c r="U12" s="6">
        <f>SUMIFS($G$18:$G$30,$F$18:$F$30,$T12)</f>
        <v>7158</v>
      </c>
      <c r="V12" s="6">
        <f>SUMIFS($H$18:$H$30,$F$18:$F$30,$T12)</f>
        <v>2769</v>
      </c>
      <c r="W12" s="7">
        <f t="shared" si="0"/>
        <v>0.38683989941324393</v>
      </c>
      <c r="X12" s="6">
        <f t="shared" si="1"/>
        <v>4389</v>
      </c>
      <c r="Y12" s="7">
        <f>SUMIFS($K$18:$K$30,$F$18:$F$30,$T12)/SUMIFS($G$18:$G$30,$F$18:$F$30,$T12)</f>
        <v>0.31614976250349258</v>
      </c>
      <c r="Z12" s="7">
        <f t="shared" si="2"/>
        <v>7.0690136909751344E-2</v>
      </c>
      <c r="AA12" s="6">
        <f>IFERROR(SUMIFS(flu_eng[nfl_staff],flu_eng[icb],$T12),"-")</f>
        <v>17152</v>
      </c>
      <c r="AB12" s="6">
        <f>IFERROR(SUMIFS(flu_eng[nfl_doses],flu_eng[icb],$T12),"-")</f>
        <v>6063</v>
      </c>
      <c r="AC12" s="7">
        <f t="shared" si="3"/>
        <v>0.35348647388059701</v>
      </c>
      <c r="AD12" s="23"/>
      <c r="AE12" s="23"/>
      <c r="AF12" s="23"/>
    </row>
    <row r="13" spans="19:48" x14ac:dyDescent="0.35">
      <c r="S13" s="15"/>
      <c r="T13" s="5" t="s">
        <v>194</v>
      </c>
      <c r="U13" s="6">
        <f>SUMIFS($G$18:$G$30,$F$18:$F$30,$T13)</f>
        <v>9626</v>
      </c>
      <c r="V13" s="6">
        <f>SUMIFS($H$18:$H$30,$F$18:$F$30,$T13)</f>
        <v>3983</v>
      </c>
      <c r="W13" s="7">
        <f t="shared" si="0"/>
        <v>0.41377519218782466</v>
      </c>
      <c r="X13" s="6">
        <f t="shared" si="1"/>
        <v>5643</v>
      </c>
      <c r="Y13" s="7">
        <f>SUMIFS($K$18:$K$30,$F$18:$F$30,$T13)/SUMIFS($G$18:$G$30,$F$18:$F$30,$T13)</f>
        <v>0.37938915437357157</v>
      </c>
      <c r="Z13" s="7">
        <f t="shared" si="2"/>
        <v>3.438603781425309E-2</v>
      </c>
      <c r="AA13" s="6">
        <f>IFERROR(SUMIFS(flu_eng[nfl_staff],flu_eng[icb],$T13),"-")</f>
        <v>9233</v>
      </c>
      <c r="AB13" s="6">
        <f>IFERROR(SUMIFS(flu_eng[nfl_doses],flu_eng[icb],$T13),"-")</f>
        <v>3574</v>
      </c>
      <c r="AC13" s="7">
        <f t="shared" si="3"/>
        <v>0.38708978663489657</v>
      </c>
      <c r="AD13" s="23"/>
      <c r="AE13" s="23"/>
      <c r="AF13" s="23"/>
    </row>
    <row r="14" spans="19:48" x14ac:dyDescent="0.35">
      <c r="T14" s="8" t="s">
        <v>160</v>
      </c>
      <c r="U14" s="9">
        <f>IF(SUM(U9:U13)=0,"-",SUM(U9:U13))</f>
        <v>52787</v>
      </c>
      <c r="V14" s="9">
        <f>IF(SUM(V9:V13)=0,"-",SUM(V9:V13))</f>
        <v>19084</v>
      </c>
      <c r="W14" s="10">
        <f t="shared" si="0"/>
        <v>0.36152840661526514</v>
      </c>
      <c r="X14" s="9">
        <f t="shared" si="1"/>
        <v>33703</v>
      </c>
      <c r="Y14" s="10">
        <f>IFERROR(SUM($K$18:$K$30)/$U$14,"-")</f>
        <v>0.30585181957678975</v>
      </c>
      <c r="Z14" s="7">
        <f t="shared" si="2"/>
        <v>5.5676587038475389E-2</v>
      </c>
      <c r="AA14" s="9">
        <f>SUM(AA9:AA13)</f>
        <v>68501</v>
      </c>
      <c r="AB14" s="9">
        <f>SUM(AB9:AB13)</f>
        <v>24146</v>
      </c>
      <c r="AC14" s="10">
        <f t="shared" si="3"/>
        <v>0.3524912045079634</v>
      </c>
      <c r="AD14" s="26"/>
      <c r="AE14" s="26"/>
      <c r="AF14" s="26"/>
    </row>
    <row r="16" spans="19:48" x14ac:dyDescent="0.35">
      <c r="T16" s="3" t="s">
        <v>545</v>
      </c>
      <c r="AH16" s="3" t="s">
        <v>546</v>
      </c>
      <c r="AV16" s="3" t="s">
        <v>569</v>
      </c>
    </row>
    <row r="17" spans="2:50" ht="46" customHeight="1" x14ac:dyDescent="0.35">
      <c r="B17" s="4" t="s">
        <v>18</v>
      </c>
      <c r="C17" s="4" t="s">
        <v>19</v>
      </c>
      <c r="D17" s="4" t="s">
        <v>20</v>
      </c>
      <c r="E17" s="4" t="s">
        <v>626</v>
      </c>
      <c r="F17" s="4" t="s">
        <v>544</v>
      </c>
      <c r="G17" s="4" t="s">
        <v>547</v>
      </c>
      <c r="H17" s="50" t="s">
        <v>570</v>
      </c>
      <c r="I17" s="4" t="s">
        <v>571</v>
      </c>
      <c r="J17" s="4" t="s">
        <v>548</v>
      </c>
      <c r="K17" s="50" t="s">
        <v>572</v>
      </c>
      <c r="L17" s="4" t="s">
        <v>573</v>
      </c>
      <c r="M17" s="4" t="s">
        <v>574</v>
      </c>
      <c r="N17" s="4" t="s">
        <v>575</v>
      </c>
      <c r="O17" s="4" t="s">
        <v>576</v>
      </c>
      <c r="T17" s="45" t="s">
        <v>549</v>
      </c>
      <c r="U17" s="45" t="s">
        <v>555</v>
      </c>
      <c r="V17" s="45" t="s">
        <v>556</v>
      </c>
      <c r="W17" s="45" t="s">
        <v>557</v>
      </c>
      <c r="X17" s="45" t="s">
        <v>558</v>
      </c>
      <c r="Y17" s="45" t="s">
        <v>559</v>
      </c>
      <c r="Z17" s="45" t="s">
        <v>560</v>
      </c>
      <c r="AA17" s="59" t="s">
        <v>561</v>
      </c>
      <c r="AB17" s="59" t="s">
        <v>562</v>
      </c>
      <c r="AC17" s="59" t="s">
        <v>563</v>
      </c>
      <c r="AD17" s="46"/>
      <c r="AE17" s="47" t="s">
        <v>577</v>
      </c>
      <c r="AF17" s="47" t="s">
        <v>551</v>
      </c>
      <c r="AH17" s="45" t="s">
        <v>549</v>
      </c>
      <c r="AI17" s="45" t="s">
        <v>555</v>
      </c>
      <c r="AJ17" s="45" t="s">
        <v>556</v>
      </c>
      <c r="AK17" s="45" t="s">
        <v>557</v>
      </c>
      <c r="AL17" s="45" t="s">
        <v>558</v>
      </c>
      <c r="AM17" s="45" t="s">
        <v>559</v>
      </c>
      <c r="AN17" s="45" t="s">
        <v>560</v>
      </c>
      <c r="AO17" s="59" t="s">
        <v>561</v>
      </c>
      <c r="AP17" s="59" t="s">
        <v>562</v>
      </c>
      <c r="AQ17" s="59" t="s">
        <v>563</v>
      </c>
      <c r="AR17" s="46"/>
      <c r="AS17" s="47" t="s">
        <v>577</v>
      </c>
      <c r="AT17" s="47" t="s">
        <v>551</v>
      </c>
      <c r="AV17" s="48" t="s">
        <v>552</v>
      </c>
      <c r="AW17" s="48" t="s">
        <v>578</v>
      </c>
      <c r="AX17" s="48" t="s">
        <v>579</v>
      </c>
    </row>
    <row r="18" spans="2:50" x14ac:dyDescent="0.35">
      <c r="B18" s="5" t="s">
        <v>62</v>
      </c>
      <c r="C18" s="5" t="s">
        <v>63</v>
      </c>
      <c r="D18" s="5" t="s">
        <v>64</v>
      </c>
      <c r="E18" s="5" t="str">
        <f>VLOOKUP($B18,trust_lookup[],4,0)</f>
        <v>Acute &amp; Community</v>
      </c>
      <c r="F18" s="5" t="s">
        <v>194</v>
      </c>
      <c r="G18" s="6">
        <f>VLOOKUP($B18,Summary!$G$18:$P$49,6,0)</f>
        <v>3343</v>
      </c>
      <c r="H18" s="6">
        <f>VLOOKUP($B18,Summary!$G$18:$P$49,7,0)</f>
        <v>1351</v>
      </c>
      <c r="I18" s="7">
        <f t="shared" ref="I18:I30" si="4">IFERROR(H18/G18,"-")</f>
        <v>0.40412802871672149</v>
      </c>
      <c r="J18" s="7">
        <f>SUMIFS(flu_eng[fl_5%_target],flu_eng[trust_code],$B18)</f>
        <v>0.45672782899999997</v>
      </c>
      <c r="K18" s="6">
        <f>VLOOKUP($B18,Summary!$G$18:$P$49,10,0)</f>
        <v>1304</v>
      </c>
      <c r="L18" s="7">
        <f t="shared" ref="L18:L30" si="5">IFERROR(K18/G18,"-")</f>
        <v>0.39006880047861203</v>
      </c>
      <c r="M18" s="6">
        <f>IFERROR(SUMIFS(flu_eng[nfl_staff],flu_eng[trust_code],$B18),"-")</f>
        <v>1177</v>
      </c>
      <c r="N18" s="6">
        <f>IFERROR(SUMIFS(flu_eng[nfl_doses],flu_eng[trust_code],$B18),"-")</f>
        <v>442</v>
      </c>
      <c r="O18" s="7">
        <f t="shared" ref="O18:O30" si="6">N18/M18</f>
        <v>0.37553101104502973</v>
      </c>
      <c r="P18" s="2">
        <f t="shared" ref="P18:P30" si="7">IFERROR(_xlfn.RANK.EQ(I18,$I$18:$I$30,0),"")</f>
        <v>3</v>
      </c>
      <c r="R18" s="2">
        <v>1</v>
      </c>
      <c r="T18" s="5" t="str">
        <f t="shared" ref="T18:T30" si="8">IFERROR(INDEX(D$18:D$30,MATCH($R18,$P$18:$P$30,0)),"-")</f>
        <v>K&amp;R FT</v>
      </c>
      <c r="U18" s="6">
        <f t="shared" ref="U18:U30" si="9">IFERROR(INDEX(G$18:G$30,MATCH($R18,$P$18:$P$30,0)),"-")</f>
        <v>3808</v>
      </c>
      <c r="V18" s="6">
        <f t="shared" ref="V18:V30" si="10">IFERROR(INDEX(H$18:H$30,MATCH($R18,$P$18:$P$30,0)),"-")</f>
        <v>1766</v>
      </c>
      <c r="W18" s="7">
        <f t="shared" ref="W18:W30" si="11">IFERROR(V18/U18,"-")</f>
        <v>0.46376050420168069</v>
      </c>
      <c r="X18" s="6">
        <f t="shared" ref="X18:X30" si="12">IFERROR(U18-V18,"-")</f>
        <v>2042</v>
      </c>
      <c r="Y18" s="7">
        <f t="shared" ref="Y18:Y30" si="13">IFERROR(INDEX(L$18:L$30,MATCH($R18,$P$18:$P$30,0)),"-")</f>
        <v>0.43198529411764708</v>
      </c>
      <c r="Z18" s="7">
        <f t="shared" ref="Z18:Z30" si="14">IFERROR(W18-Y18,"-")</f>
        <v>3.1775210084033612E-2</v>
      </c>
      <c r="AA18" s="6">
        <f t="shared" ref="AA18:AA30" si="15">IFERROR(INDEX(M$18:M$30,MATCH($R18,$P$18:$P$30,0)),"-")</f>
        <v>1128</v>
      </c>
      <c r="AB18" s="6">
        <f t="shared" ref="AB18:AB30" si="16">IFERROR(INDEX(N$18:N$30,MATCH($R18,$P$18:$P$30,0)),"-")</f>
        <v>470</v>
      </c>
      <c r="AC18" s="7">
        <f t="shared" ref="AC18:AC30" si="17">IFERROR(AB18/AA18,"-")</f>
        <v>0.41666666666666669</v>
      </c>
      <c r="AD18" s="23"/>
      <c r="AE18" s="30">
        <f t="shared" ref="AE18:AE30" si="18">IFERROR(INDEX(J$18:J$30,MATCH($R18,$P$18:$P$30,0)),"-")</f>
        <v>0.486503719</v>
      </c>
      <c r="AF18" s="28">
        <f t="shared" ref="AF18:AF30" si="19">IFERROR((U18*AE18)-V18,"-")</f>
        <v>86.606161952000093</v>
      </c>
      <c r="AH18" s="5" t="str">
        <f t="shared" ref="AH18:AH30" si="20">D18</f>
        <v>Croydon</v>
      </c>
      <c r="AI18" s="6">
        <f t="shared" ref="AI18:AI30" si="21">G18</f>
        <v>3343</v>
      </c>
      <c r="AJ18" s="6">
        <f t="shared" ref="AJ18:AJ30" si="22">H18</f>
        <v>1351</v>
      </c>
      <c r="AK18" s="7">
        <f t="shared" ref="AK18:AK30" si="23">I18</f>
        <v>0.40412802871672149</v>
      </c>
      <c r="AL18" s="6">
        <f t="shared" ref="AL18:AL30" si="24">IFERROR(AI18-AJ18,"-")</f>
        <v>1992</v>
      </c>
      <c r="AM18" s="7">
        <f t="shared" ref="AM18:AM30" si="25">L18</f>
        <v>0.39006880047861203</v>
      </c>
      <c r="AN18" s="7">
        <f t="shared" ref="AN18:AN30" si="26">IFERROR(AK18-AM18,"-")</f>
        <v>1.4059228238109456E-2</v>
      </c>
      <c r="AO18" s="6">
        <f t="shared" ref="AO18:AQ19" si="27">M18</f>
        <v>1177</v>
      </c>
      <c r="AP18" s="6">
        <f t="shared" si="27"/>
        <v>442</v>
      </c>
      <c r="AQ18" s="7">
        <f t="shared" si="27"/>
        <v>0.37553101104502973</v>
      </c>
      <c r="AR18" s="23"/>
      <c r="AS18" s="30">
        <f t="shared" ref="AS18:AS30" si="28">J18</f>
        <v>0.45672782899999997</v>
      </c>
      <c r="AT18" s="28">
        <f t="shared" ref="AT18:AT30" si="29">IFERROR((AI18*AS18)-AJ18,"-")</f>
        <v>175.84113234699998</v>
      </c>
      <c r="AV18" s="6">
        <v>36</v>
      </c>
      <c r="AW18" s="49">
        <v>45901</v>
      </c>
      <c r="AX18" s="49">
        <v>45907</v>
      </c>
    </row>
    <row r="19" spans="2:50" x14ac:dyDescent="0.35">
      <c r="B19" s="5" t="s">
        <v>113</v>
      </c>
      <c r="C19" s="5" t="s">
        <v>114</v>
      </c>
      <c r="D19" s="5" t="s">
        <v>115</v>
      </c>
      <c r="E19" s="5" t="str">
        <f>VLOOKUP($B19,trust_lookup[],4,0)</f>
        <v>Acute &amp; Community</v>
      </c>
      <c r="F19" s="5" t="s">
        <v>194</v>
      </c>
      <c r="G19" s="6">
        <f>VLOOKUP($B19,Summary!$G$18:$P$49,6,0)</f>
        <v>3808</v>
      </c>
      <c r="H19" s="6">
        <f>VLOOKUP($B19,Summary!$G$18:$P$49,7,0)</f>
        <v>1766</v>
      </c>
      <c r="I19" s="7">
        <f t="shared" si="4"/>
        <v>0.46376050420168069</v>
      </c>
      <c r="J19" s="7">
        <f>SUMIFS(flu_eng[fl_5%_target],flu_eng[trust_code],$B19)</f>
        <v>0.486503719</v>
      </c>
      <c r="K19" s="6">
        <f>VLOOKUP($B19,Summary!$G$18:$P$49,10,0)</f>
        <v>1645</v>
      </c>
      <c r="L19" s="7">
        <f t="shared" si="5"/>
        <v>0.43198529411764708</v>
      </c>
      <c r="M19" s="6">
        <f>IFERROR(SUMIFS(flu_eng[nfl_staff],flu_eng[trust_code],$B19),"-")</f>
        <v>1128</v>
      </c>
      <c r="N19" s="6">
        <f>IFERROR(SUMIFS(flu_eng[nfl_doses],flu_eng[trust_code],$B19),"-")</f>
        <v>470</v>
      </c>
      <c r="O19" s="7">
        <f t="shared" si="6"/>
        <v>0.41666666666666669</v>
      </c>
      <c r="P19" s="2">
        <f t="shared" si="7"/>
        <v>1</v>
      </c>
      <c r="R19" s="2">
        <v>2</v>
      </c>
      <c r="T19" s="5" t="str">
        <f t="shared" si="8"/>
        <v>T&amp;P</v>
      </c>
      <c r="U19" s="6">
        <f t="shared" si="9"/>
        <v>404</v>
      </c>
      <c r="V19" s="6">
        <f t="shared" si="10"/>
        <v>168</v>
      </c>
      <c r="W19" s="7">
        <f t="shared" si="11"/>
        <v>0.41584158415841582</v>
      </c>
      <c r="X19" s="6">
        <f t="shared" si="12"/>
        <v>236</v>
      </c>
      <c r="Y19" s="7">
        <f t="shared" si="13"/>
        <v>0.27722772277227725</v>
      </c>
      <c r="Z19" s="7">
        <f t="shared" si="14"/>
        <v>0.13861386138613857</v>
      </c>
      <c r="AA19" s="6">
        <f t="shared" si="15"/>
        <v>392</v>
      </c>
      <c r="AB19" s="6">
        <f t="shared" si="16"/>
        <v>146</v>
      </c>
      <c r="AC19" s="7">
        <f t="shared" si="17"/>
        <v>0.37244897959183676</v>
      </c>
      <c r="AD19" s="23"/>
      <c r="AE19" s="30">
        <f t="shared" si="18"/>
        <v>0.32752293599999999</v>
      </c>
      <c r="AF19" s="28">
        <f t="shared" si="19"/>
        <v>-35.680733856000018</v>
      </c>
      <c r="AH19" s="5" t="str">
        <f t="shared" si="20"/>
        <v>K&amp;R FT</v>
      </c>
      <c r="AI19" s="6">
        <f t="shared" si="21"/>
        <v>3808</v>
      </c>
      <c r="AJ19" s="6">
        <f t="shared" si="22"/>
        <v>1766</v>
      </c>
      <c r="AK19" s="7">
        <f t="shared" si="23"/>
        <v>0.46376050420168069</v>
      </c>
      <c r="AL19" s="6">
        <f t="shared" si="24"/>
        <v>2042</v>
      </c>
      <c r="AM19" s="7">
        <f t="shared" si="25"/>
        <v>0.43198529411764708</v>
      </c>
      <c r="AN19" s="7">
        <f t="shared" si="26"/>
        <v>3.1775210084033612E-2</v>
      </c>
      <c r="AO19" s="6">
        <f t="shared" si="27"/>
        <v>1128</v>
      </c>
      <c r="AP19" s="6">
        <f t="shared" si="27"/>
        <v>470</v>
      </c>
      <c r="AQ19" s="7">
        <f t="shared" si="27"/>
        <v>0.41666666666666669</v>
      </c>
      <c r="AR19" s="23"/>
      <c r="AS19" s="30">
        <f t="shared" si="28"/>
        <v>0.486503719</v>
      </c>
      <c r="AT19" s="28">
        <f t="shared" si="29"/>
        <v>86.606161952000093</v>
      </c>
      <c r="AV19" s="6">
        <v>37</v>
      </c>
      <c r="AW19" s="49">
        <v>45908</v>
      </c>
      <c r="AX19" s="49">
        <v>45914</v>
      </c>
    </row>
    <row r="20" spans="2:50" x14ac:dyDescent="0.35">
      <c r="B20" s="5" t="s">
        <v>185</v>
      </c>
      <c r="C20" s="5" t="s">
        <v>186</v>
      </c>
      <c r="D20" s="5" t="s">
        <v>191</v>
      </c>
      <c r="E20" s="5" t="str">
        <f>VLOOKUP($B20,trust_lookup[],4,0)</f>
        <v>Acute &amp; Community</v>
      </c>
      <c r="F20" s="5" t="s">
        <v>27</v>
      </c>
      <c r="G20" s="6">
        <f>VLOOKUP($B20,Summary!$G$18:$P$49,6,0)</f>
        <v>2969</v>
      </c>
      <c r="H20" s="6">
        <f>VLOOKUP($B20,Summary!$G$18:$P$49,7,0)</f>
        <v>1185</v>
      </c>
      <c r="I20" s="7">
        <f t="shared" si="4"/>
        <v>0.39912428427079827</v>
      </c>
      <c r="J20" s="7">
        <f>SUMIFS(flu_eng[fl_5%_target],flu_eng[trust_code],$B20)</f>
        <v>0.39853195199999902</v>
      </c>
      <c r="K20" s="6">
        <f>VLOOKUP($B20,Summary!$G$18:$P$49,10,0)</f>
        <v>1027</v>
      </c>
      <c r="L20" s="7">
        <f t="shared" si="5"/>
        <v>0.34590771303469181</v>
      </c>
      <c r="M20" s="6">
        <f>IFERROR(SUMIFS(flu_eng[nfl_staff],flu_eng[trust_code],$B20),"-")</f>
        <v>1632</v>
      </c>
      <c r="N20" s="6">
        <f>IFERROR(SUMIFS(flu_eng[nfl_doses],flu_eng[trust_code],$B20),"-")</f>
        <v>519</v>
      </c>
      <c r="O20" s="7">
        <f t="shared" si="6"/>
        <v>0.31801470588235292</v>
      </c>
      <c r="P20" s="2">
        <f t="shared" si="7"/>
        <v>4</v>
      </c>
      <c r="R20" s="2">
        <v>3</v>
      </c>
      <c r="T20" s="5" t="str">
        <f t="shared" si="8"/>
        <v>Croydon</v>
      </c>
      <c r="U20" s="6">
        <f t="shared" si="9"/>
        <v>3343</v>
      </c>
      <c r="V20" s="6">
        <f t="shared" si="10"/>
        <v>1351</v>
      </c>
      <c r="W20" s="7">
        <f t="shared" si="11"/>
        <v>0.40412802871672149</v>
      </c>
      <c r="X20" s="6">
        <f t="shared" si="12"/>
        <v>1992</v>
      </c>
      <c r="Y20" s="7">
        <f t="shared" si="13"/>
        <v>0.39006880047861203</v>
      </c>
      <c r="Z20" s="7">
        <f t="shared" si="14"/>
        <v>1.4059228238109456E-2</v>
      </c>
      <c r="AA20" s="6">
        <f t="shared" si="15"/>
        <v>1177</v>
      </c>
      <c r="AB20" s="6">
        <f t="shared" si="16"/>
        <v>442</v>
      </c>
      <c r="AC20" s="7">
        <f t="shared" si="17"/>
        <v>0.37553101104502973</v>
      </c>
      <c r="AD20" s="23"/>
      <c r="AE20" s="30">
        <f t="shared" si="18"/>
        <v>0.45672782899999997</v>
      </c>
      <c r="AF20" s="28">
        <f t="shared" si="19"/>
        <v>175.84113234699998</v>
      </c>
      <c r="AH20" s="5" t="str">
        <f t="shared" si="20"/>
        <v>Whittington</v>
      </c>
      <c r="AI20" s="6">
        <f t="shared" si="21"/>
        <v>2969</v>
      </c>
      <c r="AJ20" s="6">
        <f t="shared" si="22"/>
        <v>1185</v>
      </c>
      <c r="AK20" s="7">
        <f t="shared" si="23"/>
        <v>0.39912428427079827</v>
      </c>
      <c r="AL20" s="6">
        <f t="shared" si="24"/>
        <v>1784</v>
      </c>
      <c r="AM20" s="7">
        <f t="shared" si="25"/>
        <v>0.34590771303469181</v>
      </c>
      <c r="AN20" s="7">
        <f t="shared" si="26"/>
        <v>5.3216571236106458E-2</v>
      </c>
      <c r="AO20" s="6">
        <f t="shared" ref="AO20:AQ30" si="30">M20</f>
        <v>1632</v>
      </c>
      <c r="AP20" s="6">
        <f t="shared" si="30"/>
        <v>519</v>
      </c>
      <c r="AQ20" s="7">
        <f t="shared" si="30"/>
        <v>0.31801470588235292</v>
      </c>
      <c r="AR20" s="23"/>
      <c r="AS20" s="30">
        <f t="shared" si="28"/>
        <v>0.39853195199999902</v>
      </c>
      <c r="AT20" s="28">
        <f t="shared" si="29"/>
        <v>-1.7586345120028</v>
      </c>
      <c r="AV20" s="6">
        <v>38</v>
      </c>
      <c r="AW20" s="49">
        <v>45915</v>
      </c>
      <c r="AX20" s="49">
        <v>45921</v>
      </c>
    </row>
    <row r="21" spans="2:50" x14ac:dyDescent="0.35">
      <c r="B21" s="5" t="s">
        <v>48</v>
      </c>
      <c r="C21" s="5" t="s">
        <v>49</v>
      </c>
      <c r="D21" s="5" t="s">
        <v>50</v>
      </c>
      <c r="E21" s="5" t="str">
        <f>VLOOKUP($B21,trust_lookup[],4,0)</f>
        <v>Community</v>
      </c>
      <c r="F21" s="5" t="s">
        <v>192</v>
      </c>
      <c r="G21" s="6">
        <f>VLOOKUP($B21,Summary!$G$18:$P$49,6,0)</f>
        <v>4118</v>
      </c>
      <c r="H21" s="6">
        <f>VLOOKUP($B21,Summary!$G$18:$P$49,7,0)</f>
        <v>1549</v>
      </c>
      <c r="I21" s="7">
        <f t="shared" si="4"/>
        <v>0.37615347255949488</v>
      </c>
      <c r="J21" s="7">
        <f>SUMIFS(flu_eng[fl_5%_target],flu_eng[trust_code],$B21)</f>
        <v>0.34633582400000001</v>
      </c>
      <c r="K21" s="6">
        <f>VLOOKUP($B21,Summary!$G$18:$P$49,10,0)</f>
        <v>1216</v>
      </c>
      <c r="L21" s="7">
        <f t="shared" si="5"/>
        <v>0.29528897523069453</v>
      </c>
      <c r="M21" s="6">
        <f>IFERROR(SUMIFS(flu_eng[nfl_staff],flu_eng[trust_code],$B21),"-")</f>
        <v>761</v>
      </c>
      <c r="N21" s="6">
        <f>IFERROR(SUMIFS(flu_eng[nfl_doses],flu_eng[trust_code],$B21),"-")</f>
        <v>247</v>
      </c>
      <c r="O21" s="7">
        <f t="shared" si="6"/>
        <v>0.32457293035479634</v>
      </c>
      <c r="P21" s="2">
        <f t="shared" si="7"/>
        <v>7</v>
      </c>
      <c r="R21" s="2">
        <v>4</v>
      </c>
      <c r="T21" s="5" t="str">
        <f t="shared" si="8"/>
        <v>Whittington</v>
      </c>
      <c r="U21" s="6">
        <f t="shared" si="9"/>
        <v>2969</v>
      </c>
      <c r="V21" s="6">
        <f t="shared" si="10"/>
        <v>1185</v>
      </c>
      <c r="W21" s="7">
        <f t="shared" si="11"/>
        <v>0.39912428427079827</v>
      </c>
      <c r="X21" s="6">
        <f t="shared" si="12"/>
        <v>1784</v>
      </c>
      <c r="Y21" s="7">
        <f t="shared" si="13"/>
        <v>0.34590771303469181</v>
      </c>
      <c r="Z21" s="7">
        <f t="shared" si="14"/>
        <v>5.3216571236106458E-2</v>
      </c>
      <c r="AA21" s="6">
        <f t="shared" si="15"/>
        <v>1632</v>
      </c>
      <c r="AB21" s="6">
        <f t="shared" si="16"/>
        <v>519</v>
      </c>
      <c r="AC21" s="7">
        <f t="shared" si="17"/>
        <v>0.31801470588235292</v>
      </c>
      <c r="AD21" s="23"/>
      <c r="AE21" s="30">
        <f t="shared" si="18"/>
        <v>0.39853195199999902</v>
      </c>
      <c r="AF21" s="28">
        <f t="shared" si="19"/>
        <v>-1.7586345120028</v>
      </c>
      <c r="AH21" s="5" t="str">
        <f t="shared" si="20"/>
        <v>CLCH</v>
      </c>
      <c r="AI21" s="6">
        <f t="shared" si="21"/>
        <v>4118</v>
      </c>
      <c r="AJ21" s="6">
        <f t="shared" si="22"/>
        <v>1549</v>
      </c>
      <c r="AK21" s="7">
        <f t="shared" si="23"/>
        <v>0.37615347255949488</v>
      </c>
      <c r="AL21" s="6">
        <f t="shared" si="24"/>
        <v>2569</v>
      </c>
      <c r="AM21" s="7">
        <f t="shared" si="25"/>
        <v>0.29528897523069453</v>
      </c>
      <c r="AN21" s="7">
        <f t="shared" si="26"/>
        <v>8.0864497328800355E-2</v>
      </c>
      <c r="AO21" s="6">
        <f t="shared" si="30"/>
        <v>761</v>
      </c>
      <c r="AP21" s="6">
        <f t="shared" si="30"/>
        <v>247</v>
      </c>
      <c r="AQ21" s="7">
        <f t="shared" si="30"/>
        <v>0.32457293035479634</v>
      </c>
      <c r="AR21" s="23"/>
      <c r="AS21" s="30">
        <f t="shared" si="28"/>
        <v>0.34633582400000001</v>
      </c>
      <c r="AT21" s="28">
        <f t="shared" si="29"/>
        <v>-122.78907676799986</v>
      </c>
      <c r="AV21" s="6">
        <v>39</v>
      </c>
      <c r="AW21" s="49">
        <v>45922</v>
      </c>
      <c r="AX21" s="49">
        <v>45928</v>
      </c>
    </row>
    <row r="22" spans="2:50" x14ac:dyDescent="0.35">
      <c r="B22" s="5" t="s">
        <v>147</v>
      </c>
      <c r="C22" s="5" t="s">
        <v>148</v>
      </c>
      <c r="D22" s="5" t="s">
        <v>149</v>
      </c>
      <c r="E22" s="5" t="str">
        <f>VLOOKUP($B22,trust_lookup[],4,0)</f>
        <v>Mental Health</v>
      </c>
      <c r="F22" s="5" t="s">
        <v>27</v>
      </c>
      <c r="G22" s="6">
        <f>VLOOKUP($B22,Summary!$G$18:$P$49,6,0)</f>
        <v>5165</v>
      </c>
      <c r="H22" s="6">
        <f>VLOOKUP($B22,Summary!$G$18:$P$49,7,0)</f>
        <v>1652</v>
      </c>
      <c r="I22" s="7">
        <f t="shared" si="4"/>
        <v>0.31984511132623428</v>
      </c>
      <c r="J22" s="7">
        <f>SUMIFS(flu_eng[fl_5%_target],flu_eng[trust_code],$B22)</f>
        <v>0.29190700400000003</v>
      </c>
      <c r="K22" s="6">
        <f>VLOOKUP($B22,Summary!$G$18:$P$49,10,0)</f>
        <v>1240</v>
      </c>
      <c r="L22" s="7">
        <f t="shared" si="5"/>
        <v>0.24007744433688286</v>
      </c>
      <c r="M22" s="6">
        <f>IFERROR(SUMIFS(flu_eng[nfl_staff],flu_eng[trust_code],$B22),"-")</f>
        <v>1089</v>
      </c>
      <c r="N22" s="6">
        <f>IFERROR(SUMIFS(flu_eng[nfl_doses],flu_eng[trust_code],$B22),"-")</f>
        <v>328</v>
      </c>
      <c r="O22" s="7">
        <f t="shared" si="6"/>
        <v>0.30119375573921031</v>
      </c>
      <c r="P22" s="2">
        <f t="shared" si="7"/>
        <v>13</v>
      </c>
      <c r="R22" s="2">
        <v>5</v>
      </c>
      <c r="T22" s="5" t="str">
        <f t="shared" si="8"/>
        <v>SLAM</v>
      </c>
      <c r="U22" s="6">
        <f t="shared" si="9"/>
        <v>4107</v>
      </c>
      <c r="V22" s="6">
        <f t="shared" si="10"/>
        <v>1600</v>
      </c>
      <c r="W22" s="7">
        <f t="shared" si="11"/>
        <v>0.38957876795714635</v>
      </c>
      <c r="X22" s="6">
        <f t="shared" si="12"/>
        <v>2507</v>
      </c>
      <c r="Y22" s="7">
        <f t="shared" si="13"/>
        <v>0.31896761626491354</v>
      </c>
      <c r="Z22" s="7">
        <f t="shared" si="14"/>
        <v>7.061115169223281E-2</v>
      </c>
      <c r="AA22" s="6">
        <f t="shared" si="15"/>
        <v>2023</v>
      </c>
      <c r="AB22" s="6">
        <f t="shared" si="16"/>
        <v>722</v>
      </c>
      <c r="AC22" s="7">
        <f t="shared" si="17"/>
        <v>0.3568956994562531</v>
      </c>
      <c r="AD22" s="23"/>
      <c r="AE22" s="30">
        <f t="shared" si="18"/>
        <v>0.37769929399999902</v>
      </c>
      <c r="AF22" s="28">
        <f t="shared" si="19"/>
        <v>-48.788999542003921</v>
      </c>
      <c r="AH22" s="5" t="str">
        <f t="shared" si="20"/>
        <v>North London</v>
      </c>
      <c r="AI22" s="6">
        <f t="shared" si="21"/>
        <v>5165</v>
      </c>
      <c r="AJ22" s="6">
        <f t="shared" si="22"/>
        <v>1652</v>
      </c>
      <c r="AK22" s="7">
        <f t="shared" si="23"/>
        <v>0.31984511132623428</v>
      </c>
      <c r="AL22" s="6">
        <f t="shared" si="24"/>
        <v>3513</v>
      </c>
      <c r="AM22" s="7">
        <f t="shared" si="25"/>
        <v>0.24007744433688286</v>
      </c>
      <c r="AN22" s="7">
        <f t="shared" si="26"/>
        <v>7.9767666989351421E-2</v>
      </c>
      <c r="AO22" s="6">
        <f t="shared" si="30"/>
        <v>1089</v>
      </c>
      <c r="AP22" s="6">
        <f t="shared" si="30"/>
        <v>328</v>
      </c>
      <c r="AQ22" s="7">
        <f t="shared" si="30"/>
        <v>0.30119375573921031</v>
      </c>
      <c r="AR22" s="23"/>
      <c r="AS22" s="30">
        <f t="shared" si="28"/>
        <v>0.29190700400000003</v>
      </c>
      <c r="AT22" s="28">
        <f t="shared" si="29"/>
        <v>-144.30032433999986</v>
      </c>
      <c r="AV22" s="6">
        <v>40</v>
      </c>
      <c r="AW22" s="49">
        <v>45929</v>
      </c>
      <c r="AX22" s="49">
        <v>45935</v>
      </c>
    </row>
    <row r="23" spans="2:50" x14ac:dyDescent="0.35">
      <c r="B23" s="5" t="s">
        <v>164</v>
      </c>
      <c r="C23" s="5" t="s">
        <v>165</v>
      </c>
      <c r="D23" s="5" t="s">
        <v>166</v>
      </c>
      <c r="E23" s="5" t="str">
        <f>VLOOKUP($B23,trust_lookup[],4,0)</f>
        <v>Mental Health</v>
      </c>
      <c r="F23" s="5" t="s">
        <v>193</v>
      </c>
      <c r="G23" s="6">
        <f>VLOOKUP($B23,Summary!$G$18:$P$49,6,0)</f>
        <v>4107</v>
      </c>
      <c r="H23" s="6">
        <f>VLOOKUP($B23,Summary!$G$18:$P$49,7,0)</f>
        <v>1600</v>
      </c>
      <c r="I23" s="7">
        <f t="shared" si="4"/>
        <v>0.38957876795714635</v>
      </c>
      <c r="J23" s="7">
        <f>SUMIFS(flu_eng[fl_5%_target],flu_eng[trust_code],$B23)</f>
        <v>0.37769929399999902</v>
      </c>
      <c r="K23" s="6">
        <f>VLOOKUP($B23,Summary!$G$18:$P$49,10,0)</f>
        <v>1310</v>
      </c>
      <c r="L23" s="7">
        <f t="shared" si="5"/>
        <v>0.31896761626491354</v>
      </c>
      <c r="M23" s="6">
        <f>IFERROR(SUMIFS(flu_eng[nfl_staff],flu_eng[trust_code],$B23),"-")</f>
        <v>2023</v>
      </c>
      <c r="N23" s="6">
        <f>IFERROR(SUMIFS(flu_eng[nfl_doses],flu_eng[trust_code],$B23),"-")</f>
        <v>722</v>
      </c>
      <c r="O23" s="7">
        <f t="shared" si="6"/>
        <v>0.3568956994562531</v>
      </c>
      <c r="P23" s="2">
        <f t="shared" si="7"/>
        <v>5</v>
      </c>
      <c r="R23" s="2">
        <v>6</v>
      </c>
      <c r="T23" s="5" t="str">
        <f t="shared" si="8"/>
        <v>Oxleas</v>
      </c>
      <c r="U23" s="6">
        <f t="shared" si="9"/>
        <v>3051</v>
      </c>
      <c r="V23" s="6">
        <f t="shared" si="10"/>
        <v>1169</v>
      </c>
      <c r="W23" s="7">
        <f t="shared" si="11"/>
        <v>0.38315306456899378</v>
      </c>
      <c r="X23" s="6">
        <f t="shared" si="12"/>
        <v>1882</v>
      </c>
      <c r="Y23" s="7">
        <f t="shared" si="13"/>
        <v>0.31235660439200263</v>
      </c>
      <c r="Z23" s="7">
        <f t="shared" si="14"/>
        <v>7.0796460176991149E-2</v>
      </c>
      <c r="AA23" s="6">
        <f t="shared" si="15"/>
        <v>2154</v>
      </c>
      <c r="AB23" s="6">
        <f t="shared" si="16"/>
        <v>872</v>
      </c>
      <c r="AC23" s="7">
        <f t="shared" si="17"/>
        <v>0.40482822655524603</v>
      </c>
      <c r="AD23" s="23"/>
      <c r="AE23" s="30">
        <f t="shared" si="18"/>
        <v>0.37116788299999998</v>
      </c>
      <c r="AF23" s="28">
        <f t="shared" si="19"/>
        <v>-36.566788967000093</v>
      </c>
      <c r="AH23" s="5" t="str">
        <f t="shared" si="20"/>
        <v>SLAM</v>
      </c>
      <c r="AI23" s="6">
        <f t="shared" si="21"/>
        <v>4107</v>
      </c>
      <c r="AJ23" s="6">
        <f t="shared" si="22"/>
        <v>1600</v>
      </c>
      <c r="AK23" s="7">
        <f t="shared" si="23"/>
        <v>0.38957876795714635</v>
      </c>
      <c r="AL23" s="6">
        <f t="shared" si="24"/>
        <v>2507</v>
      </c>
      <c r="AM23" s="7">
        <f t="shared" si="25"/>
        <v>0.31896761626491354</v>
      </c>
      <c r="AN23" s="7">
        <f t="shared" si="26"/>
        <v>7.061115169223281E-2</v>
      </c>
      <c r="AO23" s="6">
        <f t="shared" si="30"/>
        <v>2023</v>
      </c>
      <c r="AP23" s="6">
        <f t="shared" si="30"/>
        <v>722</v>
      </c>
      <c r="AQ23" s="7">
        <f t="shared" si="30"/>
        <v>0.3568956994562531</v>
      </c>
      <c r="AR23" s="23"/>
      <c r="AS23" s="30">
        <f t="shared" si="28"/>
        <v>0.37769929399999902</v>
      </c>
      <c r="AT23" s="28">
        <f t="shared" si="29"/>
        <v>-48.788999542003921</v>
      </c>
      <c r="AV23" s="6">
        <v>41</v>
      </c>
      <c r="AW23" s="49">
        <v>45936</v>
      </c>
      <c r="AX23" s="49">
        <v>45942</v>
      </c>
    </row>
    <row r="24" spans="2:50" x14ac:dyDescent="0.35">
      <c r="B24" s="5" t="s">
        <v>167</v>
      </c>
      <c r="C24" s="5" t="s">
        <v>168</v>
      </c>
      <c r="D24" s="5" t="s">
        <v>169</v>
      </c>
      <c r="E24" s="5" t="str">
        <f>VLOOKUP($B24,trust_lookup[],4,0)</f>
        <v>Mental Health</v>
      </c>
      <c r="F24" s="5" t="s">
        <v>194</v>
      </c>
      <c r="G24" s="6">
        <f>VLOOKUP($B24,Summary!$G$18:$P$49,6,0)</f>
        <v>2475</v>
      </c>
      <c r="H24" s="6">
        <f>VLOOKUP($B24,Summary!$G$18:$P$49,7,0)</f>
        <v>866</v>
      </c>
      <c r="I24" s="7">
        <f t="shared" si="4"/>
        <v>0.34989898989898988</v>
      </c>
      <c r="J24" s="7">
        <f>SUMIFS(flu_eng[fl_5%_target],flu_eng[trust_code],$B24)</f>
        <v>0.34144274499999999</v>
      </c>
      <c r="K24" s="6">
        <f>VLOOKUP($B24,Summary!$G$18:$P$49,10,0)</f>
        <v>703</v>
      </c>
      <c r="L24" s="7">
        <f t="shared" si="5"/>
        <v>0.28404040404040404</v>
      </c>
      <c r="M24" s="6">
        <f>IFERROR(SUMIFS(flu_eng[nfl_staff],flu_eng[trust_code],$B24),"-")</f>
        <v>1182</v>
      </c>
      <c r="N24" s="6">
        <f>IFERROR(SUMIFS(flu_eng[nfl_doses],flu_eng[trust_code],$B24),"-")</f>
        <v>400</v>
      </c>
      <c r="O24" s="7">
        <f t="shared" si="6"/>
        <v>0.33840947546531303</v>
      </c>
      <c r="P24" s="2">
        <f t="shared" si="7"/>
        <v>8</v>
      </c>
      <c r="R24" s="2">
        <v>7</v>
      </c>
      <c r="T24" s="5" t="str">
        <f t="shared" si="8"/>
        <v>CLCH</v>
      </c>
      <c r="U24" s="6">
        <f t="shared" si="9"/>
        <v>4118</v>
      </c>
      <c r="V24" s="6">
        <f t="shared" si="10"/>
        <v>1549</v>
      </c>
      <c r="W24" s="7">
        <f t="shared" si="11"/>
        <v>0.37615347255949488</v>
      </c>
      <c r="X24" s="6">
        <f t="shared" si="12"/>
        <v>2569</v>
      </c>
      <c r="Y24" s="7">
        <f t="shared" si="13"/>
        <v>0.29528897523069453</v>
      </c>
      <c r="Z24" s="7">
        <f t="shared" si="14"/>
        <v>8.0864497328800355E-2</v>
      </c>
      <c r="AA24" s="6">
        <f t="shared" si="15"/>
        <v>761</v>
      </c>
      <c r="AB24" s="6">
        <f t="shared" si="16"/>
        <v>247</v>
      </c>
      <c r="AC24" s="7">
        <f t="shared" si="17"/>
        <v>0.32457293035479634</v>
      </c>
      <c r="AD24" s="23"/>
      <c r="AE24" s="30">
        <f t="shared" si="18"/>
        <v>0.34633582400000001</v>
      </c>
      <c r="AF24" s="28">
        <f t="shared" si="19"/>
        <v>-122.78907676799986</v>
      </c>
      <c r="AH24" s="5" t="str">
        <f t="shared" si="20"/>
        <v>SWL&amp;StG</v>
      </c>
      <c r="AI24" s="6">
        <f t="shared" si="21"/>
        <v>2475</v>
      </c>
      <c r="AJ24" s="6">
        <f t="shared" si="22"/>
        <v>866</v>
      </c>
      <c r="AK24" s="7">
        <f t="shared" si="23"/>
        <v>0.34989898989898988</v>
      </c>
      <c r="AL24" s="6">
        <f t="shared" si="24"/>
        <v>1609</v>
      </c>
      <c r="AM24" s="7">
        <f t="shared" si="25"/>
        <v>0.28404040404040404</v>
      </c>
      <c r="AN24" s="7">
        <f t="shared" si="26"/>
        <v>6.5858585858585839E-2</v>
      </c>
      <c r="AO24" s="6">
        <f t="shared" si="30"/>
        <v>1182</v>
      </c>
      <c r="AP24" s="6">
        <f t="shared" si="30"/>
        <v>400</v>
      </c>
      <c r="AQ24" s="7">
        <f t="shared" si="30"/>
        <v>0.33840947546531303</v>
      </c>
      <c r="AR24" s="23"/>
      <c r="AS24" s="30">
        <f t="shared" si="28"/>
        <v>0.34144274499999999</v>
      </c>
      <c r="AT24" s="28">
        <f t="shared" si="29"/>
        <v>-20.929206125000064</v>
      </c>
      <c r="AV24" s="6">
        <v>42</v>
      </c>
      <c r="AW24" s="49">
        <v>45943</v>
      </c>
      <c r="AX24" s="49">
        <v>45949</v>
      </c>
    </row>
    <row r="25" spans="2:50" x14ac:dyDescent="0.35">
      <c r="B25" s="5" t="s">
        <v>173</v>
      </c>
      <c r="C25" s="5" t="s">
        <v>174</v>
      </c>
      <c r="D25" s="5" t="s">
        <v>175</v>
      </c>
      <c r="E25" s="5" t="str">
        <f>VLOOKUP($B25,trust_lookup[],4,0)</f>
        <v>Mental Health</v>
      </c>
      <c r="F25" s="5" t="s">
        <v>27</v>
      </c>
      <c r="G25" s="6">
        <f>VLOOKUP($B25,Summary!$G$18:$P$49,6,0)</f>
        <v>404</v>
      </c>
      <c r="H25" s="6">
        <f>VLOOKUP($B25,Summary!$G$18:$P$49,7,0)</f>
        <v>168</v>
      </c>
      <c r="I25" s="7">
        <f t="shared" si="4"/>
        <v>0.41584158415841582</v>
      </c>
      <c r="J25" s="7">
        <f>SUMIFS(flu_eng[fl_5%_target],flu_eng[trust_code],$B25)</f>
        <v>0.32752293599999999</v>
      </c>
      <c r="K25" s="6">
        <f>VLOOKUP($B25,Summary!$G$18:$P$49,10,0)</f>
        <v>112</v>
      </c>
      <c r="L25" s="7">
        <f t="shared" si="5"/>
        <v>0.27722772277227725</v>
      </c>
      <c r="M25" s="6">
        <f>IFERROR(SUMIFS(flu_eng[nfl_staff],flu_eng[trust_code],$B25),"-")</f>
        <v>392</v>
      </c>
      <c r="N25" s="6">
        <f>IFERROR(SUMIFS(flu_eng[nfl_doses],flu_eng[trust_code],$B25),"-")</f>
        <v>146</v>
      </c>
      <c r="O25" s="7">
        <f t="shared" si="6"/>
        <v>0.37244897959183676</v>
      </c>
      <c r="P25" s="2">
        <f t="shared" si="7"/>
        <v>2</v>
      </c>
      <c r="R25" s="2">
        <v>8</v>
      </c>
      <c r="T25" s="5" t="str">
        <f t="shared" si="8"/>
        <v>SWL&amp;StG</v>
      </c>
      <c r="U25" s="6">
        <f t="shared" si="9"/>
        <v>2475</v>
      </c>
      <c r="V25" s="6">
        <f t="shared" si="10"/>
        <v>866</v>
      </c>
      <c r="W25" s="7">
        <f t="shared" si="11"/>
        <v>0.34989898989898988</v>
      </c>
      <c r="X25" s="6">
        <f t="shared" si="12"/>
        <v>1609</v>
      </c>
      <c r="Y25" s="7">
        <f t="shared" si="13"/>
        <v>0.28404040404040404</v>
      </c>
      <c r="Z25" s="7">
        <f t="shared" si="14"/>
        <v>6.5858585858585839E-2</v>
      </c>
      <c r="AA25" s="6">
        <f t="shared" si="15"/>
        <v>1182</v>
      </c>
      <c r="AB25" s="6">
        <f t="shared" si="16"/>
        <v>400</v>
      </c>
      <c r="AC25" s="7">
        <f t="shared" si="17"/>
        <v>0.33840947546531303</v>
      </c>
      <c r="AD25" s="23"/>
      <c r="AE25" s="30">
        <f t="shared" si="18"/>
        <v>0.34144274499999999</v>
      </c>
      <c r="AF25" s="28">
        <f t="shared" si="19"/>
        <v>-20.929206125000064</v>
      </c>
      <c r="AH25" s="5" t="str">
        <f t="shared" si="20"/>
        <v>T&amp;P</v>
      </c>
      <c r="AI25" s="6">
        <f t="shared" si="21"/>
        <v>404</v>
      </c>
      <c r="AJ25" s="6">
        <f t="shared" si="22"/>
        <v>168</v>
      </c>
      <c r="AK25" s="7">
        <f t="shared" si="23"/>
        <v>0.41584158415841582</v>
      </c>
      <c r="AL25" s="6">
        <f t="shared" si="24"/>
        <v>236</v>
      </c>
      <c r="AM25" s="7">
        <f t="shared" si="25"/>
        <v>0.27722772277227725</v>
      </c>
      <c r="AN25" s="7">
        <f t="shared" si="26"/>
        <v>0.13861386138613857</v>
      </c>
      <c r="AO25" s="6">
        <f t="shared" si="30"/>
        <v>392</v>
      </c>
      <c r="AP25" s="6">
        <f t="shared" si="30"/>
        <v>146</v>
      </c>
      <c r="AQ25" s="7">
        <f t="shared" si="30"/>
        <v>0.37244897959183676</v>
      </c>
      <c r="AR25" s="23"/>
      <c r="AS25" s="30">
        <f t="shared" si="28"/>
        <v>0.32752293599999999</v>
      </c>
      <c r="AT25" s="28">
        <f t="shared" si="29"/>
        <v>-35.680733856000018</v>
      </c>
      <c r="AV25" s="6">
        <v>43</v>
      </c>
      <c r="AW25" s="49">
        <v>45950</v>
      </c>
      <c r="AX25" s="49">
        <v>45956</v>
      </c>
    </row>
    <row r="26" spans="2:50" x14ac:dyDescent="0.35">
      <c r="B26" s="5" t="s">
        <v>25</v>
      </c>
      <c r="C26" s="5" t="s">
        <v>26</v>
      </c>
      <c r="D26" s="5" t="s">
        <v>43</v>
      </c>
      <c r="E26" s="5" t="str">
        <f>VLOOKUP($B26,trust_lookup[],4,0)</f>
        <v>Mental Health &amp; Community</v>
      </c>
      <c r="F26" s="5" t="s">
        <v>27</v>
      </c>
      <c r="G26" s="6">
        <f>VLOOKUP($B26,Summary!$G$18:$P$49,6,0)</f>
        <v>5870</v>
      </c>
      <c r="H26" s="6">
        <f>VLOOKUP($B26,Summary!$G$18:$P$49,7,0)</f>
        <v>2018</v>
      </c>
      <c r="I26" s="7">
        <f t="shared" si="4"/>
        <v>0.34378194207836454</v>
      </c>
      <c r="J26" s="7">
        <f>SUMIFS(flu_eng[fl_5%_target],flu_eng[trust_code],$B26)</f>
        <v>0.34768177</v>
      </c>
      <c r="K26" s="6">
        <f>VLOOKUP($B26,Summary!$G$18:$P$49,10,0)</f>
        <v>1741</v>
      </c>
      <c r="L26" s="7">
        <f t="shared" si="5"/>
        <v>0.29659284497444632</v>
      </c>
      <c r="M26" s="6">
        <f>IFERROR(SUMIFS(flu_eng[nfl_staff],flu_eng[trust_code],$B26),"-")</f>
        <v>2305</v>
      </c>
      <c r="N26" s="6">
        <f>IFERROR(SUMIFS(flu_eng[nfl_doses],flu_eng[trust_code],$B26),"-")</f>
        <v>945</v>
      </c>
      <c r="O26" s="7">
        <f t="shared" si="6"/>
        <v>0.40997830802603036</v>
      </c>
      <c r="P26" s="2">
        <f t="shared" si="7"/>
        <v>10</v>
      </c>
      <c r="R26" s="2">
        <v>9</v>
      </c>
      <c r="T26" s="5" t="str">
        <f t="shared" si="8"/>
        <v>West London</v>
      </c>
      <c r="U26" s="6">
        <f t="shared" si="9"/>
        <v>4258</v>
      </c>
      <c r="V26" s="6">
        <f t="shared" si="10"/>
        <v>1477</v>
      </c>
      <c r="W26" s="7">
        <f t="shared" si="11"/>
        <v>0.3468764678252701</v>
      </c>
      <c r="X26" s="6">
        <f t="shared" si="12"/>
        <v>2781</v>
      </c>
      <c r="Y26" s="7">
        <f t="shared" si="13"/>
        <v>0.29262564584311884</v>
      </c>
      <c r="Z26" s="7">
        <f t="shared" si="14"/>
        <v>5.4250821982151254E-2</v>
      </c>
      <c r="AA26" s="6">
        <f t="shared" si="15"/>
        <v>1270</v>
      </c>
      <c r="AB26" s="6">
        <f t="shared" si="16"/>
        <v>464</v>
      </c>
      <c r="AC26" s="7">
        <f t="shared" si="17"/>
        <v>0.36535433070866141</v>
      </c>
      <c r="AD26" s="23"/>
      <c r="AE26" s="30">
        <f t="shared" si="18"/>
        <v>0.35353606799999998</v>
      </c>
      <c r="AF26" s="28">
        <f t="shared" si="19"/>
        <v>28.356577543999947</v>
      </c>
      <c r="AH26" s="5" t="str">
        <f t="shared" si="20"/>
        <v>CNWL</v>
      </c>
      <c r="AI26" s="6">
        <f t="shared" si="21"/>
        <v>5870</v>
      </c>
      <c r="AJ26" s="6">
        <f t="shared" si="22"/>
        <v>2018</v>
      </c>
      <c r="AK26" s="7">
        <f t="shared" si="23"/>
        <v>0.34378194207836454</v>
      </c>
      <c r="AL26" s="6">
        <f t="shared" si="24"/>
        <v>3852</v>
      </c>
      <c r="AM26" s="7">
        <f t="shared" si="25"/>
        <v>0.29659284497444632</v>
      </c>
      <c r="AN26" s="7">
        <f t="shared" si="26"/>
        <v>4.7189097103918221E-2</v>
      </c>
      <c r="AO26" s="6">
        <f t="shared" si="30"/>
        <v>2305</v>
      </c>
      <c r="AP26" s="6">
        <f t="shared" si="30"/>
        <v>945</v>
      </c>
      <c r="AQ26" s="7">
        <f t="shared" si="30"/>
        <v>0.40997830802603036</v>
      </c>
      <c r="AR26" s="23"/>
      <c r="AS26" s="30">
        <f t="shared" si="28"/>
        <v>0.34768177</v>
      </c>
      <c r="AT26" s="28">
        <f t="shared" si="29"/>
        <v>22.891989899999999</v>
      </c>
      <c r="AV26" s="6">
        <v>44</v>
      </c>
      <c r="AW26" s="49">
        <v>45957</v>
      </c>
      <c r="AX26" s="49">
        <v>45963</v>
      </c>
    </row>
    <row r="27" spans="2:50" x14ac:dyDescent="0.35">
      <c r="B27" s="5" t="s">
        <v>69</v>
      </c>
      <c r="C27" s="5" t="s">
        <v>70</v>
      </c>
      <c r="D27" s="5" t="s">
        <v>71</v>
      </c>
      <c r="E27" s="5" t="str">
        <f>VLOOKUP($B27,trust_lookup[],4,0)</f>
        <v>Mental Health &amp; Community</v>
      </c>
      <c r="F27" s="5" t="s">
        <v>190</v>
      </c>
      <c r="G27" s="6">
        <f>VLOOKUP($B27,Summary!$G$18:$P$49,6,0)</f>
        <v>7143</v>
      </c>
      <c r="H27" s="6">
        <f>VLOOKUP($B27,Summary!$G$18:$P$49,7,0)</f>
        <v>2296</v>
      </c>
      <c r="I27" s="7">
        <f t="shared" si="4"/>
        <v>0.32143357132857342</v>
      </c>
      <c r="J27" s="7">
        <f>SUMIFS(flu_eng[fl_5%_target],flu_eng[trust_code],$B27)</f>
        <v>0.31933739999999999</v>
      </c>
      <c r="K27" s="6">
        <f>VLOOKUP($B27,Summary!$G$18:$P$49,10,0)</f>
        <v>1888</v>
      </c>
      <c r="L27" s="7">
        <f t="shared" si="5"/>
        <v>0.2643147137057259</v>
      </c>
      <c r="M27" s="6">
        <f>IFERROR(SUMIFS(flu_eng[nfl_staff],flu_eng[trust_code],$B27),"-")</f>
        <v>1629</v>
      </c>
      <c r="N27" s="6">
        <f>IFERROR(SUMIFS(flu_eng[nfl_doses],flu_eng[trust_code],$B27),"-")</f>
        <v>524</v>
      </c>
      <c r="O27" s="7">
        <f t="shared" si="6"/>
        <v>0.32166973603437693</v>
      </c>
      <c r="P27" s="2">
        <f t="shared" si="7"/>
        <v>12</v>
      </c>
      <c r="R27" s="2">
        <v>10</v>
      </c>
      <c r="T27" s="5" t="str">
        <f t="shared" si="8"/>
        <v>CNWL</v>
      </c>
      <c r="U27" s="6">
        <f t="shared" si="9"/>
        <v>5870</v>
      </c>
      <c r="V27" s="6">
        <f t="shared" si="10"/>
        <v>2018</v>
      </c>
      <c r="W27" s="7">
        <f t="shared" si="11"/>
        <v>0.34378194207836454</v>
      </c>
      <c r="X27" s="6">
        <f t="shared" si="12"/>
        <v>3852</v>
      </c>
      <c r="Y27" s="7">
        <f t="shared" si="13"/>
        <v>0.29659284497444632</v>
      </c>
      <c r="Z27" s="7">
        <f t="shared" si="14"/>
        <v>4.7189097103918221E-2</v>
      </c>
      <c r="AA27" s="6">
        <f t="shared" si="15"/>
        <v>2305</v>
      </c>
      <c r="AB27" s="6">
        <f t="shared" si="16"/>
        <v>945</v>
      </c>
      <c r="AC27" s="7">
        <f t="shared" si="17"/>
        <v>0.40997830802603036</v>
      </c>
      <c r="AD27" s="23"/>
      <c r="AE27" s="30">
        <f t="shared" si="18"/>
        <v>0.34768177</v>
      </c>
      <c r="AF27" s="28">
        <f t="shared" si="19"/>
        <v>22.891989899999999</v>
      </c>
      <c r="AH27" s="5" t="str">
        <f t="shared" si="20"/>
        <v>ELFT</v>
      </c>
      <c r="AI27" s="6">
        <f t="shared" si="21"/>
        <v>7143</v>
      </c>
      <c r="AJ27" s="6">
        <f t="shared" si="22"/>
        <v>2296</v>
      </c>
      <c r="AK27" s="7">
        <f t="shared" si="23"/>
        <v>0.32143357132857342</v>
      </c>
      <c r="AL27" s="6">
        <f t="shared" si="24"/>
        <v>4847</v>
      </c>
      <c r="AM27" s="7">
        <f t="shared" si="25"/>
        <v>0.2643147137057259</v>
      </c>
      <c r="AN27" s="7">
        <f t="shared" si="26"/>
        <v>5.7118857622847519E-2</v>
      </c>
      <c r="AO27" s="6">
        <f t="shared" si="30"/>
        <v>1629</v>
      </c>
      <c r="AP27" s="6">
        <f t="shared" si="30"/>
        <v>524</v>
      </c>
      <c r="AQ27" s="7">
        <f t="shared" si="30"/>
        <v>0.32166973603437693</v>
      </c>
      <c r="AR27" s="23"/>
      <c r="AS27" s="30">
        <f t="shared" si="28"/>
        <v>0.31933739999999999</v>
      </c>
      <c r="AT27" s="28">
        <f t="shared" si="29"/>
        <v>-14.972951799999919</v>
      </c>
      <c r="AV27" s="6">
        <v>45</v>
      </c>
      <c r="AW27" s="49">
        <v>45964</v>
      </c>
      <c r="AX27" s="49">
        <v>45970</v>
      </c>
    </row>
    <row r="28" spans="2:50" x14ac:dyDescent="0.35">
      <c r="B28" s="5" t="s">
        <v>142</v>
      </c>
      <c r="C28" s="5" t="s">
        <v>143</v>
      </c>
      <c r="D28" s="5" t="s">
        <v>144</v>
      </c>
      <c r="E28" s="5" t="str">
        <f>VLOOKUP($B28,trust_lookup[],4,0)</f>
        <v>Mental Health &amp; Community</v>
      </c>
      <c r="F28" s="5" t="s">
        <v>190</v>
      </c>
      <c r="G28" s="6">
        <f>VLOOKUP($B28,Summary!$G$18:$P$49,6,0)</f>
        <v>6076</v>
      </c>
      <c r="H28" s="6">
        <f>VLOOKUP($B28,Summary!$G$18:$P$49,7,0)</f>
        <v>1987</v>
      </c>
      <c r="I28" s="7">
        <f t="shared" si="4"/>
        <v>0.32702435813034891</v>
      </c>
      <c r="J28" s="7">
        <f>SUMIFS(flu_eng[fl_5%_target],flu_eng[trust_code],$B28)</f>
        <v>0.34624109999999902</v>
      </c>
      <c r="K28" s="6">
        <f>VLOOKUP($B28,Summary!$G$18:$P$49,10,0)</f>
        <v>1760</v>
      </c>
      <c r="L28" s="7">
        <f t="shared" si="5"/>
        <v>0.28966425279789337</v>
      </c>
      <c r="M28" s="6">
        <f>IFERROR(SUMIFS(flu_eng[nfl_staff],flu_eng[trust_code],$B28),"-")</f>
        <v>1488</v>
      </c>
      <c r="N28" s="6">
        <f>IFERROR(SUMIFS(flu_eng[nfl_doses],flu_eng[trust_code],$B28),"-")</f>
        <v>539</v>
      </c>
      <c r="O28" s="7">
        <f t="shared" si="6"/>
        <v>0.36223118279569894</v>
      </c>
      <c r="P28" s="2">
        <f t="shared" si="7"/>
        <v>11</v>
      </c>
      <c r="R28" s="2">
        <v>11</v>
      </c>
      <c r="T28" s="5" t="str">
        <f t="shared" si="8"/>
        <v>NELFT</v>
      </c>
      <c r="U28" s="6">
        <f t="shared" si="9"/>
        <v>6076</v>
      </c>
      <c r="V28" s="6">
        <f t="shared" si="10"/>
        <v>1987</v>
      </c>
      <c r="W28" s="7">
        <f t="shared" si="11"/>
        <v>0.32702435813034891</v>
      </c>
      <c r="X28" s="6">
        <f t="shared" si="12"/>
        <v>4089</v>
      </c>
      <c r="Y28" s="7">
        <f t="shared" si="13"/>
        <v>0.28966425279789337</v>
      </c>
      <c r="Z28" s="7">
        <f t="shared" si="14"/>
        <v>3.736010533245554E-2</v>
      </c>
      <c r="AA28" s="6">
        <f t="shared" si="15"/>
        <v>1488</v>
      </c>
      <c r="AB28" s="6">
        <f t="shared" si="16"/>
        <v>539</v>
      </c>
      <c r="AC28" s="7">
        <f t="shared" si="17"/>
        <v>0.36223118279569894</v>
      </c>
      <c r="AD28" s="23"/>
      <c r="AE28" s="30">
        <f t="shared" si="18"/>
        <v>0.34624109999999902</v>
      </c>
      <c r="AF28" s="28">
        <f t="shared" si="19"/>
        <v>116.76092359999393</v>
      </c>
      <c r="AH28" s="5" t="str">
        <f t="shared" si="20"/>
        <v>NELFT</v>
      </c>
      <c r="AI28" s="6">
        <f t="shared" si="21"/>
        <v>6076</v>
      </c>
      <c r="AJ28" s="6">
        <f t="shared" si="22"/>
        <v>1987</v>
      </c>
      <c r="AK28" s="7">
        <f t="shared" si="23"/>
        <v>0.32702435813034891</v>
      </c>
      <c r="AL28" s="6">
        <f t="shared" si="24"/>
        <v>4089</v>
      </c>
      <c r="AM28" s="7">
        <f t="shared" si="25"/>
        <v>0.28966425279789337</v>
      </c>
      <c r="AN28" s="7">
        <f t="shared" si="26"/>
        <v>3.736010533245554E-2</v>
      </c>
      <c r="AO28" s="6">
        <f t="shared" si="30"/>
        <v>1488</v>
      </c>
      <c r="AP28" s="6">
        <f t="shared" si="30"/>
        <v>539</v>
      </c>
      <c r="AQ28" s="7">
        <f t="shared" si="30"/>
        <v>0.36223118279569894</v>
      </c>
      <c r="AR28" s="23"/>
      <c r="AS28" s="30">
        <f t="shared" si="28"/>
        <v>0.34624109999999902</v>
      </c>
      <c r="AT28" s="28">
        <f t="shared" si="29"/>
        <v>116.76092359999393</v>
      </c>
      <c r="AV28" s="6">
        <v>46</v>
      </c>
      <c r="AW28" s="49">
        <v>45971</v>
      </c>
      <c r="AX28" s="49">
        <v>45977</v>
      </c>
    </row>
    <row r="29" spans="2:50" x14ac:dyDescent="0.35">
      <c r="B29" s="5" t="s">
        <v>152</v>
      </c>
      <c r="C29" s="5" t="s">
        <v>153</v>
      </c>
      <c r="D29" s="5" t="s">
        <v>154</v>
      </c>
      <c r="E29" s="5" t="str">
        <f>VLOOKUP($B29,trust_lookup[],4,0)</f>
        <v>Mental Health &amp; Community</v>
      </c>
      <c r="F29" s="5" t="s">
        <v>193</v>
      </c>
      <c r="G29" s="6">
        <f>VLOOKUP($B29,Summary!$G$18:$P$49,6,0)</f>
        <v>3051</v>
      </c>
      <c r="H29" s="6">
        <f>VLOOKUP($B29,Summary!$G$18:$P$49,7,0)</f>
        <v>1169</v>
      </c>
      <c r="I29" s="7">
        <f t="shared" si="4"/>
        <v>0.38315306456899378</v>
      </c>
      <c r="J29" s="7">
        <f>SUMIFS(flu_eng[fl_5%_target],flu_eng[trust_code],$B29)</f>
        <v>0.37116788299999998</v>
      </c>
      <c r="K29" s="6">
        <f>VLOOKUP($B29,Summary!$G$18:$P$49,10,0)</f>
        <v>953</v>
      </c>
      <c r="L29" s="7">
        <f t="shared" si="5"/>
        <v>0.31235660439200263</v>
      </c>
      <c r="M29" s="6">
        <f>IFERROR(SUMIFS(flu_eng[nfl_staff],flu_eng[trust_code],$B29),"-")</f>
        <v>2154</v>
      </c>
      <c r="N29" s="6">
        <f>IFERROR(SUMIFS(flu_eng[nfl_doses],flu_eng[trust_code],$B29),"-")</f>
        <v>872</v>
      </c>
      <c r="O29" s="7">
        <f t="shared" si="6"/>
        <v>0.40482822655524603</v>
      </c>
      <c r="P29" s="2">
        <f t="shared" si="7"/>
        <v>6</v>
      </c>
      <c r="R29" s="2">
        <v>12</v>
      </c>
      <c r="T29" s="5" t="str">
        <f t="shared" si="8"/>
        <v>ELFT</v>
      </c>
      <c r="U29" s="6">
        <f t="shared" si="9"/>
        <v>7143</v>
      </c>
      <c r="V29" s="6">
        <f t="shared" si="10"/>
        <v>2296</v>
      </c>
      <c r="W29" s="7">
        <f t="shared" si="11"/>
        <v>0.32143357132857342</v>
      </c>
      <c r="X29" s="6">
        <f t="shared" si="12"/>
        <v>4847</v>
      </c>
      <c r="Y29" s="7">
        <f t="shared" si="13"/>
        <v>0.2643147137057259</v>
      </c>
      <c r="Z29" s="7">
        <f t="shared" si="14"/>
        <v>5.7118857622847519E-2</v>
      </c>
      <c r="AA29" s="6">
        <f t="shared" si="15"/>
        <v>1629</v>
      </c>
      <c r="AB29" s="6">
        <f t="shared" si="16"/>
        <v>524</v>
      </c>
      <c r="AC29" s="7">
        <f t="shared" si="17"/>
        <v>0.32166973603437693</v>
      </c>
      <c r="AD29" s="23"/>
      <c r="AE29" s="30">
        <f t="shared" si="18"/>
        <v>0.31933739999999999</v>
      </c>
      <c r="AF29" s="28">
        <f t="shared" si="19"/>
        <v>-14.972951799999919</v>
      </c>
      <c r="AH29" s="5" t="str">
        <f t="shared" si="20"/>
        <v>Oxleas</v>
      </c>
      <c r="AI29" s="6">
        <f t="shared" si="21"/>
        <v>3051</v>
      </c>
      <c r="AJ29" s="6">
        <f t="shared" si="22"/>
        <v>1169</v>
      </c>
      <c r="AK29" s="7">
        <f t="shared" si="23"/>
        <v>0.38315306456899378</v>
      </c>
      <c r="AL29" s="6">
        <f t="shared" si="24"/>
        <v>1882</v>
      </c>
      <c r="AM29" s="7">
        <f t="shared" si="25"/>
        <v>0.31235660439200263</v>
      </c>
      <c r="AN29" s="7">
        <f t="shared" si="26"/>
        <v>7.0796460176991149E-2</v>
      </c>
      <c r="AO29" s="6">
        <f t="shared" si="30"/>
        <v>2154</v>
      </c>
      <c r="AP29" s="6">
        <f t="shared" si="30"/>
        <v>872</v>
      </c>
      <c r="AQ29" s="7">
        <f t="shared" si="30"/>
        <v>0.40482822655524603</v>
      </c>
      <c r="AR29" s="23"/>
      <c r="AS29" s="30">
        <f t="shared" si="28"/>
        <v>0.37116788299999998</v>
      </c>
      <c r="AT29" s="28">
        <f t="shared" si="29"/>
        <v>-36.566788967000093</v>
      </c>
      <c r="AV29" s="6">
        <v>47</v>
      </c>
      <c r="AW29" s="49">
        <v>45978</v>
      </c>
      <c r="AX29" s="49">
        <v>45984</v>
      </c>
    </row>
    <row r="30" spans="2:50" x14ac:dyDescent="0.35">
      <c r="B30" s="5" t="s">
        <v>187</v>
      </c>
      <c r="C30" s="5" t="s">
        <v>188</v>
      </c>
      <c r="D30" s="5" t="s">
        <v>189</v>
      </c>
      <c r="E30" s="5" t="str">
        <f>VLOOKUP($B30,trust_lookup[],4,0)</f>
        <v>Mental Health &amp; Community</v>
      </c>
      <c r="F30" s="5" t="s">
        <v>192</v>
      </c>
      <c r="G30" s="6">
        <f>VLOOKUP($B30,Summary!$G$18:$P$49,6,0)</f>
        <v>4258</v>
      </c>
      <c r="H30" s="6">
        <f>VLOOKUP($B30,Summary!$G$18:$P$49,7,0)</f>
        <v>1477</v>
      </c>
      <c r="I30" s="7">
        <f t="shared" si="4"/>
        <v>0.3468764678252701</v>
      </c>
      <c r="J30" s="7">
        <f>SUMIFS(flu_eng[fl_5%_target],flu_eng[trust_code],$B30)</f>
        <v>0.35353606799999998</v>
      </c>
      <c r="K30" s="6">
        <f>VLOOKUP($B30,Summary!$G$18:$P$49,10,0)</f>
        <v>1246</v>
      </c>
      <c r="L30" s="7">
        <f t="shared" si="5"/>
        <v>0.29262564584311884</v>
      </c>
      <c r="M30" s="6">
        <f>IFERROR(SUMIFS(flu_eng[nfl_staff],flu_eng[trust_code],$B30),"-")</f>
        <v>1270</v>
      </c>
      <c r="N30" s="6">
        <f>IFERROR(SUMIFS(flu_eng[nfl_doses],flu_eng[trust_code],$B30),"-")</f>
        <v>464</v>
      </c>
      <c r="O30" s="7">
        <f t="shared" si="6"/>
        <v>0.36535433070866141</v>
      </c>
      <c r="P30" s="2">
        <f t="shared" si="7"/>
        <v>9</v>
      </c>
      <c r="R30" s="2">
        <v>13</v>
      </c>
      <c r="T30" s="5" t="str">
        <f t="shared" si="8"/>
        <v>North London</v>
      </c>
      <c r="U30" s="6">
        <f t="shared" si="9"/>
        <v>5165</v>
      </c>
      <c r="V30" s="6">
        <f t="shared" si="10"/>
        <v>1652</v>
      </c>
      <c r="W30" s="7">
        <f t="shared" si="11"/>
        <v>0.31984511132623428</v>
      </c>
      <c r="X30" s="6">
        <f t="shared" si="12"/>
        <v>3513</v>
      </c>
      <c r="Y30" s="7">
        <f t="shared" si="13"/>
        <v>0.24007744433688286</v>
      </c>
      <c r="Z30" s="7">
        <f t="shared" si="14"/>
        <v>7.9767666989351421E-2</v>
      </c>
      <c r="AA30" s="6">
        <f t="shared" si="15"/>
        <v>1089</v>
      </c>
      <c r="AB30" s="6">
        <f t="shared" si="16"/>
        <v>328</v>
      </c>
      <c r="AC30" s="7">
        <f t="shared" si="17"/>
        <v>0.30119375573921031</v>
      </c>
      <c r="AD30" s="23"/>
      <c r="AE30" s="30">
        <f t="shared" si="18"/>
        <v>0.29190700400000003</v>
      </c>
      <c r="AF30" s="28">
        <f t="shared" si="19"/>
        <v>-144.30032433999986</v>
      </c>
      <c r="AH30" s="5" t="str">
        <f t="shared" si="20"/>
        <v>West London</v>
      </c>
      <c r="AI30" s="6">
        <f t="shared" si="21"/>
        <v>4258</v>
      </c>
      <c r="AJ30" s="6">
        <f t="shared" si="22"/>
        <v>1477</v>
      </c>
      <c r="AK30" s="7">
        <f t="shared" si="23"/>
        <v>0.3468764678252701</v>
      </c>
      <c r="AL30" s="6">
        <f t="shared" si="24"/>
        <v>2781</v>
      </c>
      <c r="AM30" s="7">
        <f t="shared" si="25"/>
        <v>0.29262564584311884</v>
      </c>
      <c r="AN30" s="7">
        <f t="shared" si="26"/>
        <v>5.4250821982151254E-2</v>
      </c>
      <c r="AO30" s="6">
        <f t="shared" si="30"/>
        <v>1270</v>
      </c>
      <c r="AP30" s="6">
        <f t="shared" si="30"/>
        <v>464</v>
      </c>
      <c r="AQ30" s="7">
        <f t="shared" si="30"/>
        <v>0.36535433070866141</v>
      </c>
      <c r="AR30" s="23"/>
      <c r="AS30" s="30">
        <f t="shared" si="28"/>
        <v>0.35353606799999998</v>
      </c>
      <c r="AT30" s="28">
        <f t="shared" si="29"/>
        <v>28.356577543999947</v>
      </c>
      <c r="AV30" s="6">
        <v>48</v>
      </c>
      <c r="AW30" s="49">
        <v>45985</v>
      </c>
      <c r="AX30" s="49">
        <v>45991</v>
      </c>
    </row>
    <row r="31" spans="2:50" x14ac:dyDescent="0.35">
      <c r="AV31" s="6">
        <v>49</v>
      </c>
      <c r="AW31" s="49">
        <v>45992</v>
      </c>
      <c r="AX31" s="49">
        <v>45998</v>
      </c>
    </row>
    <row r="32" spans="2:50" x14ac:dyDescent="0.35">
      <c r="AV32" s="6">
        <v>50</v>
      </c>
      <c r="AW32" s="49">
        <v>45999</v>
      </c>
      <c r="AX32" s="49">
        <v>46005</v>
      </c>
    </row>
    <row r="33" spans="48:50" x14ac:dyDescent="0.35">
      <c r="AV33" s="6">
        <v>51</v>
      </c>
      <c r="AW33" s="49">
        <v>46006</v>
      </c>
      <c r="AX33" s="49">
        <v>46012</v>
      </c>
    </row>
    <row r="34" spans="48:50" x14ac:dyDescent="0.35">
      <c r="AV34" s="6">
        <v>52</v>
      </c>
      <c r="AW34" s="49">
        <v>46013</v>
      </c>
      <c r="AX34" s="49">
        <v>46019</v>
      </c>
    </row>
    <row r="35" spans="48:50" x14ac:dyDescent="0.35">
      <c r="AV35" s="6">
        <v>1</v>
      </c>
      <c r="AW35" s="49">
        <v>46020</v>
      </c>
      <c r="AX35" s="49">
        <v>46026</v>
      </c>
    </row>
    <row r="36" spans="48:50" x14ac:dyDescent="0.35">
      <c r="AV36" s="6">
        <v>2</v>
      </c>
      <c r="AW36" s="49">
        <v>46027</v>
      </c>
      <c r="AX36" s="49">
        <v>46033</v>
      </c>
    </row>
    <row r="37" spans="48:50" x14ac:dyDescent="0.35">
      <c r="AV37" s="6">
        <v>3</v>
      </c>
      <c r="AW37" s="49">
        <v>46034</v>
      </c>
      <c r="AX37" s="49">
        <v>46040</v>
      </c>
    </row>
    <row r="38" spans="48:50" x14ac:dyDescent="0.35">
      <c r="AV38" s="6">
        <v>4</v>
      </c>
      <c r="AW38" s="49">
        <v>46041</v>
      </c>
      <c r="AX38" s="49">
        <v>46047</v>
      </c>
    </row>
    <row r="39" spans="48:50" x14ac:dyDescent="0.35">
      <c r="AV39" s="6">
        <v>5</v>
      </c>
      <c r="AW39" s="49">
        <v>46048</v>
      </c>
      <c r="AX39" s="49">
        <v>46054</v>
      </c>
    </row>
    <row r="40" spans="48:50" x14ac:dyDescent="0.35">
      <c r="AV40" s="6">
        <v>6</v>
      </c>
      <c r="AW40" s="49">
        <v>46055</v>
      </c>
      <c r="AX40" s="49">
        <v>46061</v>
      </c>
    </row>
    <row r="41" spans="48:50" x14ac:dyDescent="0.35">
      <c r="AV41" s="6">
        <v>7</v>
      </c>
      <c r="AW41" s="49">
        <v>46062</v>
      </c>
      <c r="AX41" s="49">
        <v>46068</v>
      </c>
    </row>
    <row r="42" spans="48:50" x14ac:dyDescent="0.35">
      <c r="AV42" s="6">
        <v>8</v>
      </c>
      <c r="AW42" s="49">
        <v>46069</v>
      </c>
      <c r="AX42" s="49">
        <v>46075</v>
      </c>
    </row>
    <row r="43" spans="48:50" x14ac:dyDescent="0.35">
      <c r="AV43" s="6">
        <v>9</v>
      </c>
      <c r="AW43" s="49">
        <v>46076</v>
      </c>
      <c r="AX43" s="49">
        <v>46082</v>
      </c>
    </row>
    <row r="44" spans="48:50" x14ac:dyDescent="0.35">
      <c r="AV44" s="6">
        <v>10</v>
      </c>
      <c r="AW44" s="49">
        <v>46083</v>
      </c>
      <c r="AX44" s="49">
        <v>46089</v>
      </c>
    </row>
    <row r="45" spans="48:50" x14ac:dyDescent="0.35">
      <c r="AV45" s="6">
        <v>11</v>
      </c>
      <c r="AW45" s="49">
        <v>46090</v>
      </c>
      <c r="AX45" s="49">
        <v>46096</v>
      </c>
    </row>
    <row r="46" spans="48:50" x14ac:dyDescent="0.35">
      <c r="AV46" s="6">
        <v>12</v>
      </c>
      <c r="AW46" s="49">
        <v>46097</v>
      </c>
      <c r="AX46" s="49">
        <v>46103</v>
      </c>
    </row>
    <row r="47" spans="48:50" x14ac:dyDescent="0.35">
      <c r="AV47" s="6">
        <v>13</v>
      </c>
      <c r="AW47" s="49">
        <v>46104</v>
      </c>
      <c r="AX47" s="49">
        <v>46110</v>
      </c>
    </row>
    <row r="52" ht="29.15" customHeight="1" x14ac:dyDescent="0.35"/>
    <row r="63" ht="29.15" customHeight="1" x14ac:dyDescent="0.35"/>
  </sheetData>
  <sortState xmlns:xlrd2="http://schemas.microsoft.com/office/spreadsheetml/2017/richdata2" ref="B18:O30">
    <sortCondition ref="E18:E30"/>
    <sortCondition ref="C18:C30"/>
  </sortState>
  <mergeCells count="1">
    <mergeCell ref="T4:V4"/>
  </mergeCells>
  <conditionalFormatting sqref="W9:W13">
    <cfRule type="colorScale" priority="8">
      <colorScale>
        <cfvo type="min"/>
        <cfvo type="max"/>
        <color rgb="FFFFEF9C"/>
        <color rgb="FF63BE7B"/>
      </colorScale>
    </cfRule>
  </conditionalFormatting>
  <conditionalFormatting sqref="W18:W30">
    <cfRule type="colorScale" priority="64">
      <colorScale>
        <cfvo type="min"/>
        <cfvo type="max"/>
        <color rgb="FFFFEF9C"/>
        <color rgb="FF63BE7B"/>
      </colorScale>
    </cfRule>
  </conditionalFormatting>
  <conditionalFormatting sqref="Y9:Y13">
    <cfRule type="colorScale" priority="6">
      <colorScale>
        <cfvo type="min"/>
        <cfvo type="max"/>
        <color rgb="FFFFEF9C"/>
        <color rgb="FF63BE7B"/>
      </colorScale>
    </cfRule>
  </conditionalFormatting>
  <conditionalFormatting sqref="Y18:Y30">
    <cfRule type="colorScale" priority="65">
      <colorScale>
        <cfvo type="min"/>
        <cfvo type="max"/>
        <color rgb="FFFFEF9C"/>
        <color rgb="FF63BE7B"/>
      </colorScale>
    </cfRule>
  </conditionalFormatting>
  <conditionalFormatting sqref="Z9:Z14 Z18:Z30 AN18:AN30">
    <cfRule type="cellIs" dxfId="13" priority="1" operator="greaterThanOrEqual">
      <formula>5%</formula>
    </cfRule>
    <cfRule type="cellIs" dxfId="12" priority="2" operator="between">
      <formula>0%</formula>
      <formula>5%</formula>
    </cfRule>
    <cfRule type="cellIs" dxfId="11" priority="3" operator="lessThan">
      <formula>0%</formula>
    </cfRule>
  </conditionalFormatting>
  <conditionalFormatting sqref="AK18:AK30">
    <cfRule type="colorScale" priority="66">
      <colorScale>
        <cfvo type="min"/>
        <cfvo type="max"/>
        <color rgb="FFFFEF9C"/>
        <color rgb="FF63BE7B"/>
      </colorScale>
    </cfRule>
  </conditionalFormatting>
  <conditionalFormatting sqref="AM18:AM30">
    <cfRule type="colorScale" priority="67">
      <colorScale>
        <cfvo type="min"/>
        <cfvo type="max"/>
        <color rgb="FFFFEF9C"/>
        <color rgb="FF63BE7B"/>
      </colorScale>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1E240-DE26-4782-BFF1-882FBEDB4B91}">
  <sheetPr>
    <tabColor theme="7"/>
  </sheetPr>
  <dimension ref="B2:AX63"/>
  <sheetViews>
    <sheetView showGridLines="0" zoomScale="90" zoomScaleNormal="90" workbookViewId="0"/>
  </sheetViews>
  <sheetFormatPr defaultColWidth="8.54296875" defaultRowHeight="14.5" outlineLevelCol="1" x14ac:dyDescent="0.35"/>
  <cols>
    <col min="1" max="1" width="8.54296875" style="2"/>
    <col min="2" max="2" width="10.81640625" style="2" hidden="1" customWidth="1" outlineLevel="1"/>
    <col min="3" max="3" width="71.54296875" style="2" hidden="1" customWidth="1" outlineLevel="1"/>
    <col min="4" max="6" width="12.54296875" style="2" hidden="1" customWidth="1" outlineLevel="1"/>
    <col min="7" max="15" width="15.54296875" style="2" hidden="1" customWidth="1" outlineLevel="1"/>
    <col min="16" max="19" width="8.81640625" style="2" hidden="1" customWidth="1" outlineLevel="1"/>
    <col min="20" max="20" width="14" style="2" customWidth="1" collapsed="1"/>
    <col min="21" max="29" width="11.54296875" style="2" customWidth="1"/>
    <col min="30" max="30" width="0.81640625" style="2" customWidth="1"/>
    <col min="31" max="32" width="11.54296875" style="2" customWidth="1"/>
    <col min="33" max="33" width="2.81640625" style="2" customWidth="1"/>
    <col min="34" max="34" width="21.54296875" style="2" customWidth="1"/>
    <col min="35" max="43" width="11.54296875" style="2" customWidth="1"/>
    <col min="44" max="44" width="0.81640625" style="2" customWidth="1"/>
    <col min="45" max="46" width="11.54296875" style="2" customWidth="1"/>
    <col min="47" max="47" width="2.81640625" style="2" customWidth="1"/>
    <col min="48" max="50" width="11.54296875" style="2" customWidth="1"/>
    <col min="51" max="16384" width="8.54296875" style="2"/>
  </cols>
  <sheetData>
    <row r="2" spans="19:48" ht="26" x14ac:dyDescent="0.6">
      <c r="T2" s="11" t="s">
        <v>630</v>
      </c>
    </row>
    <row r="4" spans="19:48" x14ac:dyDescent="0.35">
      <c r="T4" s="81" t="s">
        <v>641</v>
      </c>
      <c r="U4" s="82"/>
      <c r="V4" s="83"/>
      <c r="X4" s="3"/>
    </row>
    <row r="5" spans="19:48" ht="29" x14ac:dyDescent="0.35">
      <c r="T5" s="45" t="s">
        <v>552</v>
      </c>
      <c r="U5" s="45" t="s">
        <v>553</v>
      </c>
      <c r="V5" s="45" t="s">
        <v>554</v>
      </c>
    </row>
    <row r="6" spans="19:48" x14ac:dyDescent="0.35">
      <c r="T6" s="8">
        <f>Summary!Y6</f>
        <v>9</v>
      </c>
      <c r="U6" s="51">
        <f>Summary!Z6</f>
        <v>46076</v>
      </c>
      <c r="V6" s="51">
        <f>Summary!AA6</f>
        <v>46082</v>
      </c>
    </row>
    <row r="8" spans="19:48" ht="46" customHeight="1" x14ac:dyDescent="0.35">
      <c r="T8" s="45" t="s">
        <v>544</v>
      </c>
      <c r="U8" s="45" t="s">
        <v>555</v>
      </c>
      <c r="V8" s="45" t="s">
        <v>556</v>
      </c>
      <c r="W8" s="45" t="s">
        <v>557</v>
      </c>
      <c r="X8" s="45" t="s">
        <v>558</v>
      </c>
      <c r="Y8" s="45" t="s">
        <v>559</v>
      </c>
      <c r="Z8" s="45" t="s">
        <v>560</v>
      </c>
      <c r="AA8" s="59" t="s">
        <v>561</v>
      </c>
      <c r="AB8" s="59" t="s">
        <v>562</v>
      </c>
      <c r="AC8" s="59" t="s">
        <v>563</v>
      </c>
      <c r="AD8" s="27"/>
      <c r="AE8" s="27"/>
      <c r="AF8" s="45" t="s">
        <v>564</v>
      </c>
    </row>
    <row r="9" spans="19:48" x14ac:dyDescent="0.35">
      <c r="S9" s="15"/>
      <c r="T9" s="5" t="s">
        <v>27</v>
      </c>
      <c r="U9" s="6">
        <f>SUMIFS($G$18:$G$22,$F$18:$F$22,$T9)</f>
        <v>6753</v>
      </c>
      <c r="V9" s="6">
        <f>SUMIFS($H$18:$H$22,$F$18:$F$22,$T9)</f>
        <v>3595</v>
      </c>
      <c r="W9" s="7">
        <f>IFERROR(V9/U9,"-")</f>
        <v>0.53235598993040134</v>
      </c>
      <c r="X9" s="6">
        <f>IFERROR(U9-V9,"-")</f>
        <v>3158</v>
      </c>
      <c r="Y9" s="7">
        <f>IFERROR(SUMIFS($K$18:$K$22,$F$18:$F$22,$T9)/SUMIFS($G$18:$G$22,$F$18:$F$22,$T9),"-")</f>
        <v>0.43121575596031392</v>
      </c>
      <c r="Z9" s="7">
        <f>IFERROR(W9-Y9,"-")</f>
        <v>0.10114023397008742</v>
      </c>
      <c r="AA9" s="6">
        <f>IFERROR(SUMIFS(flu_eng[nfl_staff],flu_eng[icb],$T9),"-")</f>
        <v>14204</v>
      </c>
      <c r="AB9" s="6">
        <f>IFERROR(SUMIFS(flu_eng[nfl_doses],flu_eng[icb],$T9),"-")</f>
        <v>5143</v>
      </c>
      <c r="AC9" s="7">
        <f>AB9/AA9</f>
        <v>0.3620811039143903</v>
      </c>
      <c r="AD9" s="23"/>
      <c r="AE9" s="23"/>
      <c r="AF9" s="52"/>
      <c r="AG9" s="55" t="s">
        <v>565</v>
      </c>
      <c r="AH9" s="54" t="s">
        <v>566</v>
      </c>
    </row>
    <row r="10" spans="19:48" x14ac:dyDescent="0.35">
      <c r="S10" s="15"/>
      <c r="T10" s="5" t="s">
        <v>190</v>
      </c>
      <c r="U10" s="6">
        <f>SUMIFS($G$18:$G$22,$F$18:$F$22,$T10)</f>
        <v>0</v>
      </c>
      <c r="V10" s="6">
        <f>SUMIFS($H$18:$H$22,$F$18:$F$22,$T10)</f>
        <v>0</v>
      </c>
      <c r="W10" s="7" t="str">
        <f t="shared" ref="W10:W14" si="0">IFERROR(V10/U10,"-")</f>
        <v>-</v>
      </c>
      <c r="X10" s="6">
        <f t="shared" ref="X10:X14" si="1">IFERROR(U10-V10,"-")</f>
        <v>0</v>
      </c>
      <c r="Y10" s="7" t="str">
        <f t="shared" ref="Y10:Y13" si="2">IFERROR(SUMIFS($K$18:$K$22,$F$18:$F$22,$T10)/SUMIFS($G$18:$G$22,$F$18:$F$22,$T10),"-")</f>
        <v>-</v>
      </c>
      <c r="Z10" s="7" t="str">
        <f t="shared" ref="Z10:Z14" si="3">IFERROR(W10-Y10,"-")</f>
        <v>-</v>
      </c>
      <c r="AA10" s="6">
        <f>IFERROR(SUMIFS(flu_eng[nfl_staff],flu_eng[icb],$T10),"-")</f>
        <v>11016</v>
      </c>
      <c r="AB10" s="6">
        <f>IFERROR(SUMIFS(flu_eng[nfl_doses],flu_eng[icb],$T10),"-")</f>
        <v>3320</v>
      </c>
      <c r="AC10" s="7">
        <f t="shared" ref="AC10:AC14" si="4">AB10/AA10</f>
        <v>0.30137981118373275</v>
      </c>
      <c r="AD10" s="23"/>
      <c r="AE10" s="23"/>
      <c r="AF10" s="44"/>
      <c r="AG10" s="55" t="s">
        <v>565</v>
      </c>
      <c r="AH10" s="54" t="s">
        <v>567</v>
      </c>
    </row>
    <row r="11" spans="19:48" x14ac:dyDescent="0.35">
      <c r="S11" s="15"/>
      <c r="T11" s="5" t="s">
        <v>192</v>
      </c>
      <c r="U11" s="6">
        <f>SUMIFS($G$18:$G$22,$F$18:$F$22,$T11)</f>
        <v>3747</v>
      </c>
      <c r="V11" s="6">
        <f>SUMIFS($H$18:$H$22,$F$18:$F$22,$T11)</f>
        <v>1872</v>
      </c>
      <c r="W11" s="7">
        <f t="shared" si="0"/>
        <v>0.49959967974379504</v>
      </c>
      <c r="X11" s="6">
        <f t="shared" si="1"/>
        <v>1875</v>
      </c>
      <c r="Y11" s="7">
        <f t="shared" si="2"/>
        <v>0.40886042167066988</v>
      </c>
      <c r="Z11" s="7">
        <f t="shared" si="3"/>
        <v>9.0739258073125162E-2</v>
      </c>
      <c r="AA11" s="6">
        <f>IFERROR(SUMIFS(flu_eng[nfl_staff],flu_eng[icb],$T11),"-")</f>
        <v>16896</v>
      </c>
      <c r="AB11" s="6">
        <f>IFERROR(SUMIFS(flu_eng[nfl_doses],flu_eng[icb],$T11),"-")</f>
        <v>6046</v>
      </c>
      <c r="AC11" s="7">
        <f t="shared" si="4"/>
        <v>0.35783617424242425</v>
      </c>
      <c r="AD11" s="23"/>
      <c r="AE11" s="23"/>
      <c r="AF11" s="53"/>
      <c r="AG11" s="55" t="s">
        <v>565</v>
      </c>
      <c r="AH11" s="54" t="s">
        <v>568</v>
      </c>
    </row>
    <row r="12" spans="19:48" x14ac:dyDescent="0.35">
      <c r="S12" s="15"/>
      <c r="T12" s="5" t="s">
        <v>193</v>
      </c>
      <c r="U12" s="6">
        <f>SUMIFS($G$18:$G$22,$F$18:$F$22,$T12)</f>
        <v>0</v>
      </c>
      <c r="V12" s="6">
        <f>SUMIFS($H$18:$H$22,$F$18:$F$22,$T12)</f>
        <v>0</v>
      </c>
      <c r="W12" s="7" t="str">
        <f t="shared" si="0"/>
        <v>-</v>
      </c>
      <c r="X12" s="6">
        <f t="shared" si="1"/>
        <v>0</v>
      </c>
      <c r="Y12" s="7" t="str">
        <f t="shared" si="2"/>
        <v>-</v>
      </c>
      <c r="Z12" s="7" t="str">
        <f t="shared" si="3"/>
        <v>-</v>
      </c>
      <c r="AA12" s="6">
        <f>IFERROR(SUMIFS(flu_eng[nfl_staff],flu_eng[icb],$T12),"-")</f>
        <v>17152</v>
      </c>
      <c r="AB12" s="6">
        <f>IFERROR(SUMIFS(flu_eng[nfl_doses],flu_eng[icb],$T12),"-")</f>
        <v>6063</v>
      </c>
      <c r="AC12" s="7">
        <f t="shared" si="4"/>
        <v>0.35348647388059701</v>
      </c>
      <c r="AD12" s="23"/>
      <c r="AE12" s="23"/>
      <c r="AF12" s="23"/>
    </row>
    <row r="13" spans="19:48" x14ac:dyDescent="0.35">
      <c r="S13" s="15"/>
      <c r="T13" s="5" t="s">
        <v>194</v>
      </c>
      <c r="U13" s="6">
        <f>SUMIFS($G$18:$G$22,$F$18:$F$22,$T13)</f>
        <v>3394</v>
      </c>
      <c r="V13" s="6">
        <f>SUMIFS($H$18:$H$22,$F$18:$F$22,$T13)</f>
        <v>1578</v>
      </c>
      <c r="W13" s="7">
        <f t="shared" si="0"/>
        <v>0.46493812610489099</v>
      </c>
      <c r="X13" s="6">
        <f t="shared" si="1"/>
        <v>1816</v>
      </c>
      <c r="Y13" s="7">
        <f t="shared" si="2"/>
        <v>0.41602828520919272</v>
      </c>
      <c r="Z13" s="7">
        <f t="shared" si="3"/>
        <v>4.8909840895698276E-2</v>
      </c>
      <c r="AA13" s="6">
        <f>IFERROR(SUMIFS(flu_eng[nfl_staff],flu_eng[icb],$T13),"-")</f>
        <v>9233</v>
      </c>
      <c r="AB13" s="6">
        <f>IFERROR(SUMIFS(flu_eng[nfl_doses],flu_eng[icb],$T13),"-")</f>
        <v>3574</v>
      </c>
      <c r="AC13" s="7">
        <f t="shared" si="4"/>
        <v>0.38708978663489657</v>
      </c>
      <c r="AD13" s="23"/>
      <c r="AE13" s="23"/>
      <c r="AF13" s="23"/>
    </row>
    <row r="14" spans="19:48" x14ac:dyDescent="0.35">
      <c r="T14" s="8" t="s">
        <v>160</v>
      </c>
      <c r="U14" s="9">
        <f>IF(SUM(U9:U13)=0,"-",SUM(U9:U13))</f>
        <v>13894</v>
      </c>
      <c r="V14" s="9">
        <f>IF(SUM(V9:V13)=0,"-",SUM(V9:V13))</f>
        <v>7045</v>
      </c>
      <c r="W14" s="10">
        <f t="shared" si="0"/>
        <v>0.50705340434720025</v>
      </c>
      <c r="X14" s="9">
        <f t="shared" si="1"/>
        <v>6849</v>
      </c>
      <c r="Y14" s="10">
        <f>IFERROR(SUM($K$18:$K$22)/$U$14,"-")</f>
        <v>0.42147689650208725</v>
      </c>
      <c r="Z14" s="7">
        <f t="shared" si="3"/>
        <v>8.5576507845113003E-2</v>
      </c>
      <c r="AA14" s="9">
        <f>SUM(AA9:AA13)</f>
        <v>68501</v>
      </c>
      <c r="AB14" s="9">
        <f>SUM(AB9:AB13)</f>
        <v>24146</v>
      </c>
      <c r="AC14" s="10">
        <f t="shared" si="4"/>
        <v>0.3524912045079634</v>
      </c>
      <c r="AD14" s="26"/>
      <c r="AE14" s="26"/>
      <c r="AF14" s="26"/>
    </row>
    <row r="16" spans="19:48" x14ac:dyDescent="0.35">
      <c r="T16" s="3" t="s">
        <v>545</v>
      </c>
      <c r="AH16" s="3" t="s">
        <v>546</v>
      </c>
      <c r="AV16" s="3" t="s">
        <v>569</v>
      </c>
    </row>
    <row r="17" spans="2:50" ht="46" customHeight="1" x14ac:dyDescent="0.35">
      <c r="B17" s="4" t="s">
        <v>18</v>
      </c>
      <c r="C17" s="4" t="s">
        <v>19</v>
      </c>
      <c r="D17" s="4" t="s">
        <v>20</v>
      </c>
      <c r="E17" s="4" t="s">
        <v>626</v>
      </c>
      <c r="F17" s="4" t="s">
        <v>544</v>
      </c>
      <c r="G17" s="4" t="s">
        <v>547</v>
      </c>
      <c r="H17" s="50" t="s">
        <v>570</v>
      </c>
      <c r="I17" s="4" t="s">
        <v>571</v>
      </c>
      <c r="J17" s="4" t="s">
        <v>548</v>
      </c>
      <c r="K17" s="50" t="s">
        <v>572</v>
      </c>
      <c r="L17" s="4" t="s">
        <v>573</v>
      </c>
      <c r="M17" s="4" t="s">
        <v>574</v>
      </c>
      <c r="N17" s="4" t="s">
        <v>575</v>
      </c>
      <c r="O17" s="4" t="s">
        <v>576</v>
      </c>
      <c r="T17" s="45" t="s">
        <v>549</v>
      </c>
      <c r="U17" s="45" t="s">
        <v>555</v>
      </c>
      <c r="V17" s="45" t="s">
        <v>556</v>
      </c>
      <c r="W17" s="45" t="s">
        <v>557</v>
      </c>
      <c r="X17" s="45" t="s">
        <v>558</v>
      </c>
      <c r="Y17" s="45" t="s">
        <v>559</v>
      </c>
      <c r="Z17" s="45" t="s">
        <v>560</v>
      </c>
      <c r="AA17" s="59" t="s">
        <v>561</v>
      </c>
      <c r="AB17" s="59" t="s">
        <v>562</v>
      </c>
      <c r="AC17" s="59" t="s">
        <v>563</v>
      </c>
      <c r="AD17" s="46"/>
      <c r="AE17" s="47" t="s">
        <v>577</v>
      </c>
      <c r="AF17" s="47" t="s">
        <v>551</v>
      </c>
      <c r="AH17" s="45" t="s">
        <v>549</v>
      </c>
      <c r="AI17" s="45" t="s">
        <v>555</v>
      </c>
      <c r="AJ17" s="45" t="s">
        <v>556</v>
      </c>
      <c r="AK17" s="45" t="s">
        <v>557</v>
      </c>
      <c r="AL17" s="45" t="s">
        <v>558</v>
      </c>
      <c r="AM17" s="45" t="s">
        <v>559</v>
      </c>
      <c r="AN17" s="45" t="s">
        <v>560</v>
      </c>
      <c r="AO17" s="59" t="s">
        <v>561</v>
      </c>
      <c r="AP17" s="59" t="s">
        <v>562</v>
      </c>
      <c r="AQ17" s="59" t="s">
        <v>563</v>
      </c>
      <c r="AR17" s="46"/>
      <c r="AS17" s="47" t="s">
        <v>577</v>
      </c>
      <c r="AT17" s="47" t="s">
        <v>551</v>
      </c>
      <c r="AV17" s="48" t="s">
        <v>552</v>
      </c>
      <c r="AW17" s="48" t="s">
        <v>578</v>
      </c>
      <c r="AX17" s="48" t="s">
        <v>579</v>
      </c>
    </row>
    <row r="18" spans="2:50" x14ac:dyDescent="0.35">
      <c r="B18" s="5" t="s">
        <v>124</v>
      </c>
      <c r="C18" s="5" t="s">
        <v>125</v>
      </c>
      <c r="D18" s="5" t="s">
        <v>126</v>
      </c>
      <c r="E18" s="5" t="str">
        <f>VLOOKUP($B18,trust_lookup[],4,0)</f>
        <v>Ambulance</v>
      </c>
      <c r="F18" s="5" t="s">
        <v>192</v>
      </c>
      <c r="G18" s="6">
        <f>VLOOKUP($B18,Summary!$G$18:$P$49,6,0)</f>
        <v>3747</v>
      </c>
      <c r="H18" s="6">
        <f>VLOOKUP($B18,Summary!$G$18:$P$49,7,0)</f>
        <v>1872</v>
      </c>
      <c r="I18" s="7">
        <f>IFERROR(H18/G18,"-")</f>
        <v>0.49959967974379504</v>
      </c>
      <c r="J18" s="7">
        <f>SUMIFS(flu_eng[fl_5%_target],flu_eng[trust_code],$B18)</f>
        <v>0.46653786699999999</v>
      </c>
      <c r="K18" s="6">
        <f>VLOOKUP($B18,Summary!$G$18:$P$49,10,0)</f>
        <v>1532</v>
      </c>
      <c r="L18" s="7">
        <f>IFERROR(K18/G18,"-")</f>
        <v>0.40886042167066988</v>
      </c>
      <c r="M18" s="6">
        <f>IFERROR(SUMIFS(flu_eng[nfl_staff],flu_eng[trust_code],$B18),"-")</f>
        <v>3603</v>
      </c>
      <c r="N18" s="6">
        <f>IFERROR(SUMIFS(flu_eng[nfl_doses],flu_eng[trust_code],$B18),"-")</f>
        <v>1238</v>
      </c>
      <c r="O18" s="7">
        <f>N18/M18</f>
        <v>0.34360255342769913</v>
      </c>
      <c r="P18" s="2">
        <f>IFERROR(_xlfn.RANK.EQ(I18,$I$18:$I$22,0),"")</f>
        <v>3</v>
      </c>
      <c r="R18" s="2">
        <v>1</v>
      </c>
      <c r="T18" s="5" t="str">
        <f>IFERROR(INDEX(D$18:D$22,MATCH($R18,$P$18:$P$22,0)),"-")</f>
        <v>GOSH</v>
      </c>
      <c r="U18" s="6">
        <f t="shared" ref="U18:V22" si="5">IFERROR(INDEX(G$18:G$22,MATCH($R18,$P$18:$P$22,0)),"-")</f>
        <v>3957</v>
      </c>
      <c r="V18" s="6">
        <f t="shared" si="5"/>
        <v>2252</v>
      </c>
      <c r="W18" s="7">
        <f t="shared" ref="W18:W22" si="6">IFERROR(V18/U18,"-")</f>
        <v>0.56911801870103618</v>
      </c>
      <c r="X18" s="6">
        <f t="shared" ref="X18:X22" si="7">IFERROR(U18-V18,"-")</f>
        <v>1705</v>
      </c>
      <c r="Y18" s="7">
        <f>IFERROR(INDEX(L$18:L$22,MATCH($R18,$P$18:$P$22,0)),"-")</f>
        <v>0.44882486732373011</v>
      </c>
      <c r="Z18" s="7">
        <f t="shared" ref="Z18:Z22" si="8">IFERROR(W18-Y18,"-")</f>
        <v>0.12029315137730606</v>
      </c>
      <c r="AA18" s="6">
        <f t="shared" ref="AA18:AB22" si="9">IFERROR(INDEX(M$18:M$22,MATCH($R18,$P$18:$P$22,0)),"-")</f>
        <v>1789</v>
      </c>
      <c r="AB18" s="6">
        <f t="shared" si="9"/>
        <v>807</v>
      </c>
      <c r="AC18" s="7">
        <f t="shared" ref="AC18:AC22" si="10">IFERROR(AB18/AA18,"-")</f>
        <v>0.45108999441028508</v>
      </c>
      <c r="AD18" s="23"/>
      <c r="AE18" s="30">
        <f>IFERROR(INDEX(J$18:J$22,MATCH($R18,$P$18:$P$22,0)),"-")</f>
        <v>0.50961783400000005</v>
      </c>
      <c r="AF18" s="28">
        <f t="shared" ref="AF18:AF22" si="11">IFERROR((U18*AE18)-V18,"-")</f>
        <v>-235.44223086199986</v>
      </c>
      <c r="AH18" s="5" t="str">
        <f>D18</f>
        <v>LAS</v>
      </c>
      <c r="AI18" s="6">
        <f t="shared" ref="AI18:AK22" si="12">G18</f>
        <v>3747</v>
      </c>
      <c r="AJ18" s="6">
        <f t="shared" si="12"/>
        <v>1872</v>
      </c>
      <c r="AK18" s="7">
        <f t="shared" si="12"/>
        <v>0.49959967974379504</v>
      </c>
      <c r="AL18" s="6">
        <f t="shared" ref="AL18:AL22" si="13">IFERROR(AI18-AJ18,"-")</f>
        <v>1875</v>
      </c>
      <c r="AM18" s="7">
        <f t="shared" ref="AM18:AM22" si="14">L18</f>
        <v>0.40886042167066988</v>
      </c>
      <c r="AN18" s="7">
        <f t="shared" ref="AN18:AN22" si="15">IFERROR(AK18-AM18,"-")</f>
        <v>9.0739258073125162E-2</v>
      </c>
      <c r="AO18" s="6">
        <f t="shared" ref="AO18:AQ22" si="16">M18</f>
        <v>3603</v>
      </c>
      <c r="AP18" s="6">
        <f t="shared" si="16"/>
        <v>1238</v>
      </c>
      <c r="AQ18" s="7">
        <f t="shared" si="16"/>
        <v>0.34360255342769913</v>
      </c>
      <c r="AR18" s="23"/>
      <c r="AS18" s="30">
        <f t="shared" ref="AS18:AS22" si="17">J18</f>
        <v>0.46653786699999999</v>
      </c>
      <c r="AT18" s="28">
        <f t="shared" ref="AT18:AT22" si="18">IFERROR((AI18*AS18)-AJ18,"-")</f>
        <v>-123.88261235100003</v>
      </c>
      <c r="AV18" s="6">
        <v>36</v>
      </c>
      <c r="AW18" s="49">
        <v>45901</v>
      </c>
      <c r="AX18" s="49">
        <v>45907</v>
      </c>
    </row>
    <row r="19" spans="2:50" x14ac:dyDescent="0.35">
      <c r="B19" s="5" t="s">
        <v>83</v>
      </c>
      <c r="C19" s="5" t="s">
        <v>84</v>
      </c>
      <c r="D19" s="5" t="s">
        <v>85</v>
      </c>
      <c r="E19" s="5" t="str">
        <f>VLOOKUP($B19,trust_lookup[],4,0)</f>
        <v>Specialist</v>
      </c>
      <c r="F19" s="5" t="s">
        <v>27</v>
      </c>
      <c r="G19" s="6">
        <f>VLOOKUP($B19,Summary!$G$18:$P$49,6,0)</f>
        <v>3957</v>
      </c>
      <c r="H19" s="6">
        <f>VLOOKUP($B19,Summary!$G$18:$P$49,7,0)</f>
        <v>2252</v>
      </c>
      <c r="I19" s="7">
        <f>IFERROR(H19/G19,"-")</f>
        <v>0.56911801870103618</v>
      </c>
      <c r="J19" s="7">
        <f>SUMIFS(flu_eng[fl_5%_target],flu_eng[trust_code],$B19)</f>
        <v>0.50961783400000005</v>
      </c>
      <c r="K19" s="6">
        <f>VLOOKUP($B19,Summary!$G$18:$P$49,10,0)</f>
        <v>1776</v>
      </c>
      <c r="L19" s="7">
        <f>IFERROR(K19/G19,"-")</f>
        <v>0.44882486732373011</v>
      </c>
      <c r="M19" s="6">
        <f>IFERROR(SUMIFS(flu_eng[nfl_staff],flu_eng[trust_code],$B19),"-")</f>
        <v>1789</v>
      </c>
      <c r="N19" s="6">
        <f>IFERROR(SUMIFS(flu_eng[nfl_doses],flu_eng[trust_code],$B19),"-")</f>
        <v>807</v>
      </c>
      <c r="O19" s="7">
        <f>N19/M19</f>
        <v>0.45108999441028508</v>
      </c>
      <c r="P19" s="2">
        <f>IFERROR(_xlfn.RANK.EQ(I19,$I$18:$I$22,0),"")</f>
        <v>1</v>
      </c>
      <c r="R19" s="2">
        <v>2</v>
      </c>
      <c r="T19" s="5" t="str">
        <f>IFERROR(INDEX(D$18:D$22,MATCH($R19,$P$18:$P$22,0)),"-")</f>
        <v>Moorfields</v>
      </c>
      <c r="U19" s="6">
        <f t="shared" si="5"/>
        <v>1794</v>
      </c>
      <c r="V19" s="6">
        <f t="shared" si="5"/>
        <v>916</v>
      </c>
      <c r="W19" s="7">
        <f t="shared" si="6"/>
        <v>0.5105908584169454</v>
      </c>
      <c r="X19" s="6">
        <f t="shared" si="7"/>
        <v>878</v>
      </c>
      <c r="Y19" s="7">
        <f>IFERROR(INDEX(L$18:L$22,MATCH($R19,$P$18:$P$22,0)),"-")</f>
        <v>0.4420289855072464</v>
      </c>
      <c r="Z19" s="7">
        <f t="shared" si="8"/>
        <v>6.8561872909699006E-2</v>
      </c>
      <c r="AA19" s="6">
        <f t="shared" si="9"/>
        <v>1357</v>
      </c>
      <c r="AB19" s="6">
        <f t="shared" si="9"/>
        <v>448</v>
      </c>
      <c r="AC19" s="7">
        <f t="shared" si="10"/>
        <v>0.33014001473839349</v>
      </c>
      <c r="AD19" s="23"/>
      <c r="AE19" s="30">
        <f>IFERROR(INDEX(J$18:J$22,MATCH($R19,$P$18:$P$22,0)),"-")</f>
        <v>0.52152480099999998</v>
      </c>
      <c r="AF19" s="28">
        <f t="shared" si="11"/>
        <v>19.615492993999965</v>
      </c>
      <c r="AH19" s="5" t="str">
        <f>D19</f>
        <v>GOSH</v>
      </c>
      <c r="AI19" s="6">
        <f t="shared" si="12"/>
        <v>3957</v>
      </c>
      <c r="AJ19" s="6">
        <f t="shared" si="12"/>
        <v>2252</v>
      </c>
      <c r="AK19" s="7">
        <f t="shared" si="12"/>
        <v>0.56911801870103618</v>
      </c>
      <c r="AL19" s="6">
        <f t="shared" si="13"/>
        <v>1705</v>
      </c>
      <c r="AM19" s="7">
        <f t="shared" si="14"/>
        <v>0.44882486732373011</v>
      </c>
      <c r="AN19" s="7">
        <f t="shared" si="15"/>
        <v>0.12029315137730606</v>
      </c>
      <c r="AO19" s="6">
        <f t="shared" si="16"/>
        <v>1789</v>
      </c>
      <c r="AP19" s="6">
        <f t="shared" si="16"/>
        <v>807</v>
      </c>
      <c r="AQ19" s="7">
        <f t="shared" si="16"/>
        <v>0.45108999441028508</v>
      </c>
      <c r="AR19" s="23"/>
      <c r="AS19" s="30">
        <f t="shared" si="17"/>
        <v>0.50961783400000005</v>
      </c>
      <c r="AT19" s="28">
        <f t="shared" si="18"/>
        <v>-235.44223086199986</v>
      </c>
      <c r="AV19" s="6">
        <v>37</v>
      </c>
      <c r="AW19" s="49">
        <v>45908</v>
      </c>
      <c r="AX19" s="49">
        <v>45914</v>
      </c>
    </row>
    <row r="20" spans="2:50" x14ac:dyDescent="0.35">
      <c r="B20" s="5" t="s">
        <v>136</v>
      </c>
      <c r="C20" s="5" t="s">
        <v>137</v>
      </c>
      <c r="D20" s="5" t="s">
        <v>138</v>
      </c>
      <c r="E20" s="5" t="str">
        <f>VLOOKUP($B20,trust_lookup[],4,0)</f>
        <v>Specialist</v>
      </c>
      <c r="F20" s="5" t="s">
        <v>27</v>
      </c>
      <c r="G20" s="6">
        <f>VLOOKUP($B20,Summary!$G$18:$P$49,6,0)</f>
        <v>1794</v>
      </c>
      <c r="H20" s="6">
        <f>VLOOKUP($B20,Summary!$G$18:$P$49,7,0)</f>
        <v>916</v>
      </c>
      <c r="I20" s="7">
        <f>IFERROR(H20/G20,"-")</f>
        <v>0.5105908584169454</v>
      </c>
      <c r="J20" s="7">
        <f>SUMIFS(flu_eng[fl_5%_target],flu_eng[trust_code],$B20)</f>
        <v>0.52152480099999998</v>
      </c>
      <c r="K20" s="6">
        <f>VLOOKUP($B20,Summary!$G$18:$P$49,10,0)</f>
        <v>793</v>
      </c>
      <c r="L20" s="7">
        <f>IFERROR(K20/G20,"-")</f>
        <v>0.4420289855072464</v>
      </c>
      <c r="M20" s="6">
        <f>IFERROR(SUMIFS(flu_eng[nfl_staff],flu_eng[trust_code],$B20),"-")</f>
        <v>1357</v>
      </c>
      <c r="N20" s="6">
        <f>IFERROR(SUMIFS(flu_eng[nfl_doses],flu_eng[trust_code],$B20),"-")</f>
        <v>448</v>
      </c>
      <c r="O20" s="7">
        <f>N20/M20</f>
        <v>0.33014001473839349</v>
      </c>
      <c r="P20" s="2">
        <f>IFERROR(_xlfn.RANK.EQ(I20,$I$18:$I$22,0),"")</f>
        <v>2</v>
      </c>
      <c r="R20" s="2">
        <v>3</v>
      </c>
      <c r="T20" s="5" t="str">
        <f>IFERROR(INDEX(D$18:D$22,MATCH($R20,$P$18:$P$22,0)),"-")</f>
        <v>LAS</v>
      </c>
      <c r="U20" s="6">
        <f t="shared" si="5"/>
        <v>3747</v>
      </c>
      <c r="V20" s="6">
        <f t="shared" si="5"/>
        <v>1872</v>
      </c>
      <c r="W20" s="7">
        <f t="shared" si="6"/>
        <v>0.49959967974379504</v>
      </c>
      <c r="X20" s="6">
        <f t="shared" si="7"/>
        <v>1875</v>
      </c>
      <c r="Y20" s="7">
        <f>IFERROR(INDEX(L$18:L$22,MATCH($R20,$P$18:$P$22,0)),"-")</f>
        <v>0.40886042167066988</v>
      </c>
      <c r="Z20" s="7">
        <f t="shared" si="8"/>
        <v>9.0739258073125162E-2</v>
      </c>
      <c r="AA20" s="6">
        <f t="shared" si="9"/>
        <v>3603</v>
      </c>
      <c r="AB20" s="6">
        <f t="shared" si="9"/>
        <v>1238</v>
      </c>
      <c r="AC20" s="7">
        <f t="shared" si="10"/>
        <v>0.34360255342769913</v>
      </c>
      <c r="AD20" s="23"/>
      <c r="AE20" s="30">
        <f>IFERROR(INDEX(J$18:J$22,MATCH($R20,$P$18:$P$22,0)),"-")</f>
        <v>0.46653786699999999</v>
      </c>
      <c r="AF20" s="28">
        <f t="shared" si="11"/>
        <v>-123.88261235100003</v>
      </c>
      <c r="AH20" s="5" t="str">
        <f>D20</f>
        <v>Moorfields</v>
      </c>
      <c r="AI20" s="6">
        <f t="shared" si="12"/>
        <v>1794</v>
      </c>
      <c r="AJ20" s="6">
        <f t="shared" si="12"/>
        <v>916</v>
      </c>
      <c r="AK20" s="7">
        <f t="shared" si="12"/>
        <v>0.5105908584169454</v>
      </c>
      <c r="AL20" s="6">
        <f t="shared" si="13"/>
        <v>878</v>
      </c>
      <c r="AM20" s="7">
        <f t="shared" si="14"/>
        <v>0.4420289855072464</v>
      </c>
      <c r="AN20" s="7">
        <f t="shared" si="15"/>
        <v>6.8561872909699006E-2</v>
      </c>
      <c r="AO20" s="6">
        <f t="shared" si="16"/>
        <v>1357</v>
      </c>
      <c r="AP20" s="6">
        <f t="shared" si="16"/>
        <v>448</v>
      </c>
      <c r="AQ20" s="7">
        <f t="shared" si="16"/>
        <v>0.33014001473839349</v>
      </c>
      <c r="AR20" s="23"/>
      <c r="AS20" s="30">
        <f t="shared" si="17"/>
        <v>0.52152480099999998</v>
      </c>
      <c r="AT20" s="28">
        <f t="shared" si="18"/>
        <v>19.615492993999965</v>
      </c>
      <c r="AV20" s="6">
        <v>38</v>
      </c>
      <c r="AW20" s="49">
        <v>45915</v>
      </c>
      <c r="AX20" s="49">
        <v>45921</v>
      </c>
    </row>
    <row r="21" spans="2:50" x14ac:dyDescent="0.35">
      <c r="B21" s="5" t="s">
        <v>161</v>
      </c>
      <c r="C21" s="5" t="s">
        <v>162</v>
      </c>
      <c r="D21" s="5" t="s">
        <v>163</v>
      </c>
      <c r="E21" s="5" t="str">
        <f>VLOOKUP($B21,trust_lookup[],4,0)</f>
        <v>Specialist</v>
      </c>
      <c r="F21" s="5" t="s">
        <v>27</v>
      </c>
      <c r="G21" s="6">
        <f>VLOOKUP($B21,Summary!$G$18:$P$49,6,0)</f>
        <v>1002</v>
      </c>
      <c r="H21" s="6">
        <f>VLOOKUP($B21,Summary!$G$18:$P$49,7,0)</f>
        <v>427</v>
      </c>
      <c r="I21" s="60">
        <f>IFERROR(H21/G21,"-")</f>
        <v>0.42614770459081835</v>
      </c>
      <c r="J21" s="60">
        <f>SUMIFS(flu_eng[fl_5%_target],flu_eng[trust_code],$B21)</f>
        <v>0.38827893199999902</v>
      </c>
      <c r="K21" s="6">
        <f>VLOOKUP($B21,Summary!$G$18:$P$49,10,0)</f>
        <v>343</v>
      </c>
      <c r="L21" s="60">
        <f>IFERROR(K21/G21,"-")</f>
        <v>0.34231536926147704</v>
      </c>
      <c r="M21" s="6">
        <f>IFERROR(SUMIFS(flu_eng[nfl_staff],flu_eng[trust_code],$B21),"-")</f>
        <v>702</v>
      </c>
      <c r="N21" s="6">
        <f>IFERROR(SUMIFS(flu_eng[nfl_doses],flu_eng[trust_code],$B21),"-")</f>
        <v>289</v>
      </c>
      <c r="O21" s="60">
        <f>N21/M21</f>
        <v>0.4116809116809117</v>
      </c>
      <c r="P21" s="2">
        <f>IFERROR(_xlfn.RANK.EQ(I21,$I$18:$I$22,0),"")</f>
        <v>5</v>
      </c>
      <c r="R21" s="2">
        <v>4</v>
      </c>
      <c r="T21" s="5" t="str">
        <f>IFERROR(INDEX(D$18:D$22,MATCH($R21,$P$18:$P$22,0)),"-")</f>
        <v>Marsden</v>
      </c>
      <c r="U21" s="6">
        <f t="shared" si="5"/>
        <v>3394</v>
      </c>
      <c r="V21" s="6">
        <f t="shared" si="5"/>
        <v>1578</v>
      </c>
      <c r="W21" s="7">
        <f t="shared" si="6"/>
        <v>0.46493812610489099</v>
      </c>
      <c r="X21" s="6">
        <f t="shared" si="7"/>
        <v>1816</v>
      </c>
      <c r="Y21" s="7">
        <f>IFERROR(INDEX(L$18:L$22,MATCH($R21,$P$18:$P$22,0)),"-")</f>
        <v>0.41602828520919272</v>
      </c>
      <c r="Z21" s="7">
        <f t="shared" si="8"/>
        <v>4.8909840895698276E-2</v>
      </c>
      <c r="AA21" s="6">
        <f t="shared" si="9"/>
        <v>1538</v>
      </c>
      <c r="AB21" s="6">
        <f t="shared" si="9"/>
        <v>603</v>
      </c>
      <c r="AC21" s="7">
        <f t="shared" si="10"/>
        <v>0.39206762028608583</v>
      </c>
      <c r="AD21" s="23"/>
      <c r="AE21" s="30">
        <f>IFERROR(INDEX(J$18:J$22,MATCH($R21,$P$18:$P$22,0)),"-")</f>
        <v>0.483480454</v>
      </c>
      <c r="AF21" s="28">
        <f t="shared" si="11"/>
        <v>62.932660876</v>
      </c>
      <c r="AH21" s="5" t="str">
        <f>D21</f>
        <v>RNOH</v>
      </c>
      <c r="AI21" s="6">
        <f t="shared" si="12"/>
        <v>1002</v>
      </c>
      <c r="AJ21" s="6">
        <f t="shared" si="12"/>
        <v>427</v>
      </c>
      <c r="AK21" s="7">
        <f t="shared" si="12"/>
        <v>0.42614770459081835</v>
      </c>
      <c r="AL21" s="6">
        <f t="shared" si="13"/>
        <v>575</v>
      </c>
      <c r="AM21" s="7">
        <f t="shared" si="14"/>
        <v>0.34231536926147704</v>
      </c>
      <c r="AN21" s="7">
        <f t="shared" si="15"/>
        <v>8.3832335329341312E-2</v>
      </c>
      <c r="AO21" s="6">
        <f t="shared" si="16"/>
        <v>702</v>
      </c>
      <c r="AP21" s="6">
        <f t="shared" si="16"/>
        <v>289</v>
      </c>
      <c r="AQ21" s="7">
        <f t="shared" si="16"/>
        <v>0.4116809116809117</v>
      </c>
      <c r="AR21" s="23"/>
      <c r="AS21" s="30">
        <f t="shared" si="17"/>
        <v>0.38827893199999902</v>
      </c>
      <c r="AT21" s="28">
        <f t="shared" si="18"/>
        <v>-37.944510136000986</v>
      </c>
      <c r="AV21" s="6">
        <v>39</v>
      </c>
      <c r="AW21" s="49">
        <v>45922</v>
      </c>
      <c r="AX21" s="49">
        <v>45928</v>
      </c>
    </row>
    <row r="22" spans="2:50" x14ac:dyDescent="0.35">
      <c r="B22" s="5" t="s">
        <v>179</v>
      </c>
      <c r="C22" s="5" t="s">
        <v>180</v>
      </c>
      <c r="D22" s="5" t="s">
        <v>181</v>
      </c>
      <c r="E22" s="5" t="str">
        <f>VLOOKUP($B22,trust_lookup[],4,0)</f>
        <v>Specialist</v>
      </c>
      <c r="F22" s="5" t="s">
        <v>194</v>
      </c>
      <c r="G22" s="6">
        <f>VLOOKUP($B22,Summary!$G$18:$P$49,6,0)</f>
        <v>3394</v>
      </c>
      <c r="H22" s="6">
        <f>VLOOKUP($B22,Summary!$G$18:$P$49,7,0)</f>
        <v>1578</v>
      </c>
      <c r="I22" s="7">
        <f>IFERROR(H22/G22,"-")</f>
        <v>0.46493812610489099</v>
      </c>
      <c r="J22" s="7">
        <f>SUMIFS(flu_eng[fl_5%_target],flu_eng[trust_code],$B22)</f>
        <v>0.483480454</v>
      </c>
      <c r="K22" s="6">
        <f>VLOOKUP($B22,Summary!$G$18:$P$49,10,0)</f>
        <v>1412</v>
      </c>
      <c r="L22" s="7">
        <f>IFERROR(K22/G22,"-")</f>
        <v>0.41602828520919272</v>
      </c>
      <c r="M22" s="6">
        <f>IFERROR(SUMIFS(flu_eng[nfl_staff],flu_eng[trust_code],$B22),"-")</f>
        <v>1538</v>
      </c>
      <c r="N22" s="6">
        <f>IFERROR(SUMIFS(flu_eng[nfl_doses],flu_eng[trust_code],$B22),"-")</f>
        <v>603</v>
      </c>
      <c r="O22" s="7">
        <f>N22/M22</f>
        <v>0.39206762028608583</v>
      </c>
      <c r="P22" s="2">
        <f>IFERROR(_xlfn.RANK.EQ(I22,$I$18:$I$22,0),"")</f>
        <v>4</v>
      </c>
      <c r="R22" s="2">
        <v>5</v>
      </c>
      <c r="T22" s="5" t="str">
        <f>IFERROR(INDEX(D$18:D$22,MATCH($R22,$P$18:$P$22,0)),"-")</f>
        <v>RNOH</v>
      </c>
      <c r="U22" s="6">
        <f t="shared" si="5"/>
        <v>1002</v>
      </c>
      <c r="V22" s="6">
        <f t="shared" si="5"/>
        <v>427</v>
      </c>
      <c r="W22" s="7">
        <f t="shared" si="6"/>
        <v>0.42614770459081835</v>
      </c>
      <c r="X22" s="6">
        <f t="shared" si="7"/>
        <v>575</v>
      </c>
      <c r="Y22" s="7">
        <f>IFERROR(INDEX(L$18:L$22,MATCH($R22,$P$18:$P$22,0)),"-")</f>
        <v>0.34231536926147704</v>
      </c>
      <c r="Z22" s="7">
        <f t="shared" si="8"/>
        <v>8.3832335329341312E-2</v>
      </c>
      <c r="AA22" s="6">
        <f t="shared" si="9"/>
        <v>702</v>
      </c>
      <c r="AB22" s="6">
        <f t="shared" si="9"/>
        <v>289</v>
      </c>
      <c r="AC22" s="7">
        <f t="shared" si="10"/>
        <v>0.4116809116809117</v>
      </c>
      <c r="AD22" s="23"/>
      <c r="AE22" s="30">
        <f>IFERROR(INDEX(J$18:J$22,MATCH($R22,$P$18:$P$22,0)),"-")</f>
        <v>0.38827893199999902</v>
      </c>
      <c r="AF22" s="28">
        <f t="shared" si="11"/>
        <v>-37.944510136000986</v>
      </c>
      <c r="AH22" s="5" t="str">
        <f>D22</f>
        <v>Marsden</v>
      </c>
      <c r="AI22" s="6">
        <f t="shared" si="12"/>
        <v>3394</v>
      </c>
      <c r="AJ22" s="6">
        <f t="shared" si="12"/>
        <v>1578</v>
      </c>
      <c r="AK22" s="7">
        <f t="shared" si="12"/>
        <v>0.46493812610489099</v>
      </c>
      <c r="AL22" s="6">
        <f t="shared" si="13"/>
        <v>1816</v>
      </c>
      <c r="AM22" s="7">
        <f t="shared" si="14"/>
        <v>0.41602828520919272</v>
      </c>
      <c r="AN22" s="7">
        <f t="shared" si="15"/>
        <v>4.8909840895698276E-2</v>
      </c>
      <c r="AO22" s="6">
        <f t="shared" si="16"/>
        <v>1538</v>
      </c>
      <c r="AP22" s="6">
        <f t="shared" si="16"/>
        <v>603</v>
      </c>
      <c r="AQ22" s="7">
        <f t="shared" si="16"/>
        <v>0.39206762028608583</v>
      </c>
      <c r="AR22" s="23"/>
      <c r="AS22" s="30">
        <f t="shared" si="17"/>
        <v>0.483480454</v>
      </c>
      <c r="AT22" s="28">
        <f t="shared" si="18"/>
        <v>62.932660876</v>
      </c>
      <c r="AV22" s="6">
        <v>40</v>
      </c>
      <c r="AW22" s="49">
        <v>45929</v>
      </c>
      <c r="AX22" s="49">
        <v>45935</v>
      </c>
    </row>
    <row r="23" spans="2:50" x14ac:dyDescent="0.35">
      <c r="AV23" s="6">
        <v>41</v>
      </c>
      <c r="AW23" s="49">
        <v>45936</v>
      </c>
      <c r="AX23" s="49">
        <v>45942</v>
      </c>
    </row>
    <row r="24" spans="2:50" x14ac:dyDescent="0.35">
      <c r="AV24" s="6">
        <v>42</v>
      </c>
      <c r="AW24" s="49">
        <v>45943</v>
      </c>
      <c r="AX24" s="49">
        <v>45949</v>
      </c>
    </row>
    <row r="25" spans="2:50" x14ac:dyDescent="0.35">
      <c r="AV25" s="6">
        <v>43</v>
      </c>
      <c r="AW25" s="49">
        <v>45950</v>
      </c>
      <c r="AX25" s="49">
        <v>45956</v>
      </c>
    </row>
    <row r="26" spans="2:50" x14ac:dyDescent="0.35">
      <c r="AV26" s="6">
        <v>44</v>
      </c>
      <c r="AW26" s="49">
        <v>45957</v>
      </c>
      <c r="AX26" s="49">
        <v>45963</v>
      </c>
    </row>
    <row r="27" spans="2:50" x14ac:dyDescent="0.35">
      <c r="AV27" s="6">
        <v>45</v>
      </c>
      <c r="AW27" s="49">
        <v>45964</v>
      </c>
      <c r="AX27" s="49">
        <v>45970</v>
      </c>
    </row>
    <row r="28" spans="2:50" x14ac:dyDescent="0.35">
      <c r="AV28" s="6">
        <v>46</v>
      </c>
      <c r="AW28" s="49">
        <v>45971</v>
      </c>
      <c r="AX28" s="49">
        <v>45977</v>
      </c>
    </row>
    <row r="29" spans="2:50" x14ac:dyDescent="0.35">
      <c r="AV29" s="6">
        <v>47</v>
      </c>
      <c r="AW29" s="49">
        <v>45978</v>
      </c>
      <c r="AX29" s="49">
        <v>45984</v>
      </c>
    </row>
    <row r="30" spans="2:50" x14ac:dyDescent="0.35">
      <c r="AV30" s="6">
        <v>48</v>
      </c>
      <c r="AW30" s="49">
        <v>45985</v>
      </c>
      <c r="AX30" s="49">
        <v>45991</v>
      </c>
    </row>
    <row r="31" spans="2:50" x14ac:dyDescent="0.35">
      <c r="AV31" s="6">
        <v>49</v>
      </c>
      <c r="AW31" s="49">
        <v>45992</v>
      </c>
      <c r="AX31" s="49">
        <v>45998</v>
      </c>
    </row>
    <row r="32" spans="2:50" x14ac:dyDescent="0.35">
      <c r="AV32" s="6">
        <v>50</v>
      </c>
      <c r="AW32" s="49">
        <v>45999</v>
      </c>
      <c r="AX32" s="49">
        <v>46005</v>
      </c>
    </row>
    <row r="33" spans="48:50" x14ac:dyDescent="0.35">
      <c r="AV33" s="6">
        <v>51</v>
      </c>
      <c r="AW33" s="49">
        <v>46006</v>
      </c>
      <c r="AX33" s="49">
        <v>46012</v>
      </c>
    </row>
    <row r="34" spans="48:50" x14ac:dyDescent="0.35">
      <c r="AV34" s="6">
        <v>52</v>
      </c>
      <c r="AW34" s="49">
        <v>46013</v>
      </c>
      <c r="AX34" s="49">
        <v>46019</v>
      </c>
    </row>
    <row r="35" spans="48:50" x14ac:dyDescent="0.35">
      <c r="AV35" s="6">
        <v>1</v>
      </c>
      <c r="AW35" s="49">
        <v>46020</v>
      </c>
      <c r="AX35" s="49">
        <v>46026</v>
      </c>
    </row>
    <row r="36" spans="48:50" x14ac:dyDescent="0.35">
      <c r="AV36" s="6">
        <v>2</v>
      </c>
      <c r="AW36" s="49">
        <v>46027</v>
      </c>
      <c r="AX36" s="49">
        <v>46033</v>
      </c>
    </row>
    <row r="37" spans="48:50" x14ac:dyDescent="0.35">
      <c r="AV37" s="6">
        <v>3</v>
      </c>
      <c r="AW37" s="49">
        <v>46034</v>
      </c>
      <c r="AX37" s="49">
        <v>46040</v>
      </c>
    </row>
    <row r="38" spans="48:50" x14ac:dyDescent="0.35">
      <c r="AV38" s="6">
        <v>4</v>
      </c>
      <c r="AW38" s="49">
        <v>46041</v>
      </c>
      <c r="AX38" s="49">
        <v>46047</v>
      </c>
    </row>
    <row r="39" spans="48:50" x14ac:dyDescent="0.35">
      <c r="AV39" s="6">
        <v>5</v>
      </c>
      <c r="AW39" s="49">
        <v>46048</v>
      </c>
      <c r="AX39" s="49">
        <v>46054</v>
      </c>
    </row>
    <row r="40" spans="48:50" x14ac:dyDescent="0.35">
      <c r="AV40" s="6">
        <v>6</v>
      </c>
      <c r="AW40" s="49">
        <v>46055</v>
      </c>
      <c r="AX40" s="49">
        <v>46061</v>
      </c>
    </row>
    <row r="41" spans="48:50" x14ac:dyDescent="0.35">
      <c r="AV41" s="6">
        <v>7</v>
      </c>
      <c r="AW41" s="49">
        <v>46062</v>
      </c>
      <c r="AX41" s="49">
        <v>46068</v>
      </c>
    </row>
    <row r="42" spans="48:50" x14ac:dyDescent="0.35">
      <c r="AV42" s="6">
        <v>8</v>
      </c>
      <c r="AW42" s="49">
        <v>46069</v>
      </c>
      <c r="AX42" s="49">
        <v>46075</v>
      </c>
    </row>
    <row r="43" spans="48:50" x14ac:dyDescent="0.35">
      <c r="AV43" s="6">
        <v>9</v>
      </c>
      <c r="AW43" s="49">
        <v>46076</v>
      </c>
      <c r="AX43" s="49">
        <v>46082</v>
      </c>
    </row>
    <row r="44" spans="48:50" x14ac:dyDescent="0.35">
      <c r="AV44" s="6">
        <v>10</v>
      </c>
      <c r="AW44" s="49">
        <v>46083</v>
      </c>
      <c r="AX44" s="49">
        <v>46089</v>
      </c>
    </row>
    <row r="45" spans="48:50" x14ac:dyDescent="0.35">
      <c r="AV45" s="6">
        <v>11</v>
      </c>
      <c r="AW45" s="49">
        <v>46090</v>
      </c>
      <c r="AX45" s="49">
        <v>46096</v>
      </c>
    </row>
    <row r="46" spans="48:50" x14ac:dyDescent="0.35">
      <c r="AV46" s="6">
        <v>12</v>
      </c>
      <c r="AW46" s="49">
        <v>46097</v>
      </c>
      <c r="AX46" s="49">
        <v>46103</v>
      </c>
    </row>
    <row r="47" spans="48:50" x14ac:dyDescent="0.35">
      <c r="AV47" s="6">
        <v>13</v>
      </c>
      <c r="AW47" s="49">
        <v>46104</v>
      </c>
      <c r="AX47" s="49">
        <v>46110</v>
      </c>
    </row>
    <row r="52" ht="29.15" customHeight="1" x14ac:dyDescent="0.35"/>
    <row r="63" ht="29.15" customHeight="1" x14ac:dyDescent="0.35"/>
  </sheetData>
  <sortState xmlns:xlrd2="http://schemas.microsoft.com/office/spreadsheetml/2017/richdata2" ref="B18:O22">
    <sortCondition ref="E18:E22"/>
    <sortCondition ref="C18:C22"/>
  </sortState>
  <mergeCells count="1">
    <mergeCell ref="T4:V4"/>
  </mergeCells>
  <conditionalFormatting sqref="W9:W13">
    <cfRule type="colorScale" priority="8">
      <colorScale>
        <cfvo type="min"/>
        <cfvo type="max"/>
        <color rgb="FFFFEF9C"/>
        <color rgb="FF63BE7B"/>
      </colorScale>
    </cfRule>
  </conditionalFormatting>
  <conditionalFormatting sqref="W18:W22">
    <cfRule type="colorScale" priority="90">
      <colorScale>
        <cfvo type="min"/>
        <cfvo type="max"/>
        <color rgb="FFFFEF9C"/>
        <color rgb="FF63BE7B"/>
      </colorScale>
    </cfRule>
  </conditionalFormatting>
  <conditionalFormatting sqref="Y9:Y13">
    <cfRule type="colorScale" priority="6">
      <colorScale>
        <cfvo type="min"/>
        <cfvo type="max"/>
        <color rgb="FFFFEF9C"/>
        <color rgb="FF63BE7B"/>
      </colorScale>
    </cfRule>
  </conditionalFormatting>
  <conditionalFormatting sqref="Y18:Y22">
    <cfRule type="colorScale" priority="92">
      <colorScale>
        <cfvo type="min"/>
        <cfvo type="max"/>
        <color rgb="FFFFEF9C"/>
        <color rgb="FF63BE7B"/>
      </colorScale>
    </cfRule>
  </conditionalFormatting>
  <conditionalFormatting sqref="Z9 Z11 Z13:Z14 Z18:Z22 AN18:AN22">
    <cfRule type="cellIs" dxfId="10" priority="1" operator="greaterThanOrEqual">
      <formula>5%</formula>
    </cfRule>
    <cfRule type="cellIs" dxfId="9" priority="2" operator="between">
      <formula>0%</formula>
      <formula>5%</formula>
    </cfRule>
    <cfRule type="cellIs" dxfId="8" priority="3" operator="lessThan">
      <formula>0%</formula>
    </cfRule>
  </conditionalFormatting>
  <conditionalFormatting sqref="AK18:AK22">
    <cfRule type="colorScale" priority="94">
      <colorScale>
        <cfvo type="min"/>
        <cfvo type="max"/>
        <color rgb="FFFFEF9C"/>
        <color rgb="FF63BE7B"/>
      </colorScale>
    </cfRule>
  </conditionalFormatting>
  <conditionalFormatting sqref="AM18:AM22">
    <cfRule type="colorScale" priority="96">
      <colorScale>
        <cfvo type="min"/>
        <cfvo type="max"/>
        <color rgb="FFFFEF9C"/>
        <color rgb="FF63BE7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6828C-D7B2-4455-B1CD-F6850A66AF60}">
  <sheetPr>
    <tabColor theme="8"/>
  </sheetPr>
  <dimension ref="B2:R53"/>
  <sheetViews>
    <sheetView showGridLines="0" zoomScale="80" zoomScaleNormal="80" workbookViewId="0"/>
  </sheetViews>
  <sheetFormatPr defaultColWidth="8.54296875" defaultRowHeight="14.5" x14ac:dyDescent="0.35"/>
  <cols>
    <col min="1" max="1" width="8.54296875" style="2"/>
    <col min="2" max="7" width="10.6328125" style="2" customWidth="1"/>
    <col min="8" max="8" width="3.6328125" style="2" customWidth="1"/>
    <col min="9" max="14" width="10.6328125" style="2" customWidth="1"/>
    <col min="15" max="16384" width="8.54296875" style="2"/>
  </cols>
  <sheetData>
    <row r="2" spans="2:18" ht="26" x14ac:dyDescent="0.6">
      <c r="B2" s="11" t="s">
        <v>613</v>
      </c>
    </row>
    <row r="4" spans="2:18" x14ac:dyDescent="0.35">
      <c r="I4" s="84" t="s">
        <v>580</v>
      </c>
      <c r="J4" s="84"/>
    </row>
    <row r="5" spans="2:18" x14ac:dyDescent="0.35">
      <c r="I5" s="85" t="s">
        <v>32</v>
      </c>
      <c r="J5" s="86"/>
    </row>
    <row r="7" spans="2:18" x14ac:dyDescent="0.35">
      <c r="B7" s="3" t="s">
        <v>614</v>
      </c>
      <c r="I7" s="3" t="s">
        <v>615</v>
      </c>
    </row>
    <row r="8" spans="2:18" ht="46" customHeight="1" x14ac:dyDescent="0.35">
      <c r="B8" s="45" t="s">
        <v>612</v>
      </c>
      <c r="C8" s="45" t="s">
        <v>552</v>
      </c>
      <c r="D8" s="45" t="s">
        <v>556</v>
      </c>
      <c r="E8" s="45" t="s">
        <v>557</v>
      </c>
      <c r="F8" s="45" t="s">
        <v>559</v>
      </c>
      <c r="G8" s="45" t="s">
        <v>560</v>
      </c>
      <c r="I8" s="45" t="s">
        <v>612</v>
      </c>
      <c r="J8" s="45" t="s">
        <v>552</v>
      </c>
      <c r="K8" s="45" t="s">
        <v>556</v>
      </c>
      <c r="L8" s="45" t="s">
        <v>557</v>
      </c>
      <c r="M8" s="45" t="s">
        <v>559</v>
      </c>
      <c r="N8" s="45" t="s">
        <v>560</v>
      </c>
      <c r="P8" s="45" t="s">
        <v>564</v>
      </c>
    </row>
    <row r="9" spans="2:18" x14ac:dyDescent="0.35">
      <c r="B9" s="61">
        <v>45901</v>
      </c>
      <c r="C9" s="5">
        <v>36</v>
      </c>
      <c r="D9" s="62">
        <f>IF(SUMIFS(flu_aw25[cumulative_aw25_vve],flu_aw25[iso_week],$C9)=0,"-",SUMIFS(flu_aw25[cumulative_aw25_vve],flu_aw25[iso_week],$C9))</f>
        <v>28</v>
      </c>
      <c r="E9" s="63">
        <f>IFERROR((SUMIFS(flu_aw25[cumulative_aw25_vve],flu_aw25[iso_week],$C9))/SUMIFS(flu_aw25[flhcw],flu_aw25[iso_week],$C9),"-")</f>
        <v>2.5707884975577507E-4</v>
      </c>
      <c r="F9" s="63">
        <f>IFERROR((SUMIFS(flu_aw24[cumulative_aw24_vve],flu_aw24[iso_week],$C9))/SUMIFS(flu_aw24[flhcw],flu_aw24[iso_week],$C9),"-")</f>
        <v>1.8142646558566732E-4</v>
      </c>
      <c r="G9" s="63">
        <f>IF(D9="-","-",E9-F9)</f>
        <v>7.5652384170107754E-5</v>
      </c>
      <c r="I9" s="61">
        <v>45901</v>
      </c>
      <c r="J9" s="5">
        <v>36</v>
      </c>
      <c r="K9" s="62">
        <f>IF(SUMIFS(flu_aw25[cumulative_aw25_vve],flu_aw25[iso_week],$C9,flu_aw25[trust_short],$I$5)=0,"-",SUMIFS(flu_aw25[cumulative_aw25_vve],flu_aw25[iso_week],$C9,flu_aw25[trust_short],$I$5))</f>
        <v>1</v>
      </c>
      <c r="L9" s="63">
        <f>IFERROR((SUMIFS(flu_aw25[cumulative_aw25_vve],flu_aw25[iso_week],$C9,flu_aw25[trust_short],$I$5))/SUMIFS(flu_aw25[flhcw],flu_aw25[iso_week],$C9,flu_aw25[trust_short],$I$5),"-")</f>
        <v>1.4423770373575654E-4</v>
      </c>
      <c r="M9" s="63">
        <f>IFERROR((SUMIFS(flu_aw24[cumulative_aw24_vve],flu_aw24[iso_week],$C9,flu_aw24[trust_short],$I$5))/SUMIFS(flu_aw24[flhcw],flu_aw24[iso_week],$C9,flu_aw24[trust_short],$I$5),"-")</f>
        <v>1.4423770373575654E-4</v>
      </c>
      <c r="N9" s="63">
        <f>IF(OR(K9="-",M9="-"),"-",L9-M9)</f>
        <v>0</v>
      </c>
      <c r="P9" s="52"/>
      <c r="Q9" s="55" t="s">
        <v>565</v>
      </c>
      <c r="R9" s="54" t="s">
        <v>566</v>
      </c>
    </row>
    <row r="10" spans="2:18" x14ac:dyDescent="0.35">
      <c r="B10" s="61">
        <v>45908</v>
      </c>
      <c r="C10" s="5">
        <v>37</v>
      </c>
      <c r="D10" s="62">
        <f>IF(SUMIFS(flu_aw25[cumulative_aw25_vve],flu_aw25[iso_week],$C10)=0,"-",SUMIFS(flu_aw25[cumulative_aw25_vve],flu_aw25[iso_week],$C10))</f>
        <v>51</v>
      </c>
      <c r="E10" s="63">
        <f>IFERROR((SUMIFS(flu_aw25[cumulative_aw25_vve],flu_aw25[iso_week],$C10))/SUMIFS(flu_aw25[flhcw],flu_aw25[iso_week],$C10),"-")</f>
        <v>4.252374242285276E-4</v>
      </c>
      <c r="F10" s="63">
        <f>IFERROR((SUMIFS(flu_aw24[cumulative_aw24_vve],flu_aw24[iso_week],$C10))/SUMIFS(flu_aw24[flhcw],flu_aw24[iso_week],$C10),"-")</f>
        <v>4.5799134637403431E-4</v>
      </c>
      <c r="G10" s="63">
        <f t="shared" ref="G10:G35" si="0">IF(D10="-","-",E10-F10)</f>
        <v>-3.2753922145506713E-5</v>
      </c>
      <c r="I10" s="61">
        <v>45908</v>
      </c>
      <c r="J10" s="5">
        <v>37</v>
      </c>
      <c r="K10" s="62" t="str">
        <f>IF(SUMIFS(flu_aw25[cumulative_aw25_vve],flu_aw25[iso_week],$C10,flu_aw25[trust_short],$I$5)=0,"-",SUMIFS(flu_aw25[cumulative_aw25_vve],flu_aw25[iso_week],$C10,flu_aw25[trust_short],$I$5))</f>
        <v>-</v>
      </c>
      <c r="L10" s="63" t="str">
        <f>IFERROR((SUMIFS(flu_aw25[cumulative_aw25_vve],flu_aw25[iso_week],$C10,flu_aw25[trust_short],$I$5))/SUMIFS(flu_aw25[flhcw],flu_aw25[iso_week],$C10,flu_aw25[trust_short],$I$5),"-")</f>
        <v>-</v>
      </c>
      <c r="M10" s="63">
        <f>IFERROR((SUMIFS(flu_aw24[cumulative_aw24_vve],flu_aw24[iso_week],$C10,flu_aw24[trust_short],$I$5))/SUMIFS(flu_aw24[flhcw],flu_aw24[iso_week],$C10,flu_aw24[trust_short],$I$5),"-")</f>
        <v>5.7695081494302616E-4</v>
      </c>
      <c r="N10" s="63" t="str">
        <f t="shared" ref="N10:N35" si="1">IF(OR(K10="-",M10="-"),"-",L10-M10)</f>
        <v>-</v>
      </c>
      <c r="P10" s="44"/>
      <c r="Q10" s="55" t="s">
        <v>565</v>
      </c>
      <c r="R10" s="54" t="s">
        <v>567</v>
      </c>
    </row>
    <row r="11" spans="2:18" x14ac:dyDescent="0.35">
      <c r="B11" s="61">
        <v>45915</v>
      </c>
      <c r="C11" s="5">
        <v>38</v>
      </c>
      <c r="D11" s="62">
        <f>IF(SUMIFS(flu_aw25[cumulative_aw25_vve],flu_aw25[iso_week],$C11)=0,"-",SUMIFS(flu_aw25[cumulative_aw25_vve],flu_aw25[iso_week],$C11))</f>
        <v>372</v>
      </c>
      <c r="E11" s="63">
        <f>IFERROR((SUMIFS(flu_aw25[cumulative_aw25_vve],flu_aw25[iso_week],$C11))/SUMIFS(flu_aw25[flhcw],flu_aw25[iso_week],$C11),"-")</f>
        <v>2.2811170114914337E-3</v>
      </c>
      <c r="F11" s="63">
        <f>IFERROR((SUMIFS(flu_aw24[cumulative_aw24_vve],flu_aw24[iso_week],$C11))/SUMIFS(flu_aw24[flhcw],flu_aw24[iso_week],$C11),"-")</f>
        <v>3.0508598114297914E-3</v>
      </c>
      <c r="G11" s="63">
        <f t="shared" si="0"/>
        <v>-7.6974279993835765E-4</v>
      </c>
      <c r="I11" s="61">
        <v>45915</v>
      </c>
      <c r="J11" s="5">
        <v>38</v>
      </c>
      <c r="K11" s="62">
        <f>IF(SUMIFS(flu_aw25[cumulative_aw25_vve],flu_aw25[iso_week],$C11,flu_aw25[trust_short],$I$5)=0,"-",SUMIFS(flu_aw25[cumulative_aw25_vve],flu_aw25[iso_week],$C11,flu_aw25[trust_short],$I$5))</f>
        <v>3</v>
      </c>
      <c r="L11" s="63">
        <f>IFERROR((SUMIFS(flu_aw25[cumulative_aw25_vve],flu_aw25[iso_week],$C11,flu_aw25[trust_short],$I$5))/SUMIFS(flu_aw25[flhcw],flu_aw25[iso_week],$C11,flu_aw25[trust_short],$I$5),"-")</f>
        <v>4.3271311120726956E-4</v>
      </c>
      <c r="M11" s="63">
        <f>IFERROR((SUMIFS(flu_aw24[cumulative_aw24_vve],flu_aw24[iso_week],$C11,flu_aw24[trust_short],$I$5))/SUMIFS(flu_aw24[flhcw],flu_aw24[iso_week],$C11,flu_aw24[trust_short],$I$5),"-")</f>
        <v>1.9760565411798645E-2</v>
      </c>
      <c r="N11" s="63">
        <f t="shared" si="1"/>
        <v>-1.9327852300591374E-2</v>
      </c>
      <c r="P11" s="53"/>
      <c r="Q11" s="55" t="s">
        <v>565</v>
      </c>
      <c r="R11" s="54" t="s">
        <v>568</v>
      </c>
    </row>
    <row r="12" spans="2:18" x14ac:dyDescent="0.35">
      <c r="B12" s="61">
        <v>45922</v>
      </c>
      <c r="C12" s="5">
        <v>39</v>
      </c>
      <c r="D12" s="62">
        <f>IF(SUMIFS(flu_aw25[cumulative_aw25_vve],flu_aw25[iso_week],$C12)=0,"-",SUMIFS(flu_aw25[cumulative_aw25_vve],flu_aw25[iso_week],$C12))</f>
        <v>615</v>
      </c>
      <c r="E12" s="63">
        <f>IFERROR((SUMIFS(flu_aw25[cumulative_aw25_vve],flu_aw25[iso_week],$C12))/SUMIFS(flu_aw25[flhcw],flu_aw25[iso_week],$C12),"-")</f>
        <v>3.7323170102623545E-3</v>
      </c>
      <c r="F12" s="63">
        <f>IFERROR((SUMIFS(flu_aw24[cumulative_aw24_vve],flu_aw24[iso_week],$C12))/SUMIFS(flu_aw24[flhcw],flu_aw24[iso_week],$C12),"-")</f>
        <v>6.4921880287592999E-3</v>
      </c>
      <c r="G12" s="63">
        <f t="shared" si="0"/>
        <v>-2.7598710184969454E-3</v>
      </c>
      <c r="I12" s="61">
        <v>45922</v>
      </c>
      <c r="J12" s="5">
        <v>39</v>
      </c>
      <c r="K12" s="62">
        <f>IF(SUMIFS(flu_aw25[cumulative_aw25_vve],flu_aw25[iso_week],$C12,flu_aw25[trust_short],$I$5)=0,"-",SUMIFS(flu_aw25[cumulative_aw25_vve],flu_aw25[iso_week],$C12,flu_aw25[trust_short],$I$5))</f>
        <v>6</v>
      </c>
      <c r="L12" s="63">
        <f>IFERROR((SUMIFS(flu_aw25[cumulative_aw25_vve],flu_aw25[iso_week],$C12,flu_aw25[trust_short],$I$5))/SUMIFS(flu_aw25[flhcw],flu_aw25[iso_week],$C12,flu_aw25[trust_short],$I$5),"-")</f>
        <v>8.6542622241453913E-4</v>
      </c>
      <c r="M12" s="63">
        <f>IFERROR((SUMIFS(flu_aw24[cumulative_aw24_vve],flu_aw24[iso_week],$C12,flu_aw24[trust_short],$I$5))/SUMIFS(flu_aw24[flhcw],flu_aw24[iso_week],$C12,flu_aw24[trust_short],$I$5),"-")</f>
        <v>4.1251983268426363E-2</v>
      </c>
      <c r="N12" s="63">
        <f t="shared" si="1"/>
        <v>-4.0386557046011823E-2</v>
      </c>
    </row>
    <row r="13" spans="2:18" x14ac:dyDescent="0.35">
      <c r="B13" s="61">
        <v>45929</v>
      </c>
      <c r="C13" s="5">
        <v>40</v>
      </c>
      <c r="D13" s="62">
        <f>IF(SUMIFS(flu_aw25[cumulative_aw25_vve],flu_aw25[iso_week],$C13)=0,"-",SUMIFS(flu_aw25[cumulative_aw25_vve],flu_aw25[iso_week],$C13))</f>
        <v>8037</v>
      </c>
      <c r="E13" s="63">
        <f>IFERROR((SUMIFS(flu_aw25[cumulative_aw25_vve],flu_aw25[iso_week],$C13))/SUMIFS(flu_aw25[flhcw],flu_aw25[iso_week],$C13),"-")</f>
        <v>4.1103246527422622E-2</v>
      </c>
      <c r="F13" s="63">
        <f>IFERROR((SUMIFS(flu_aw24[cumulative_aw24_vve],flu_aw24[iso_week],$C13))/SUMIFS(flu_aw24[flhcw],flu_aw24[iso_week],$C13),"-")</f>
        <v>3.1232739398154779E-2</v>
      </c>
      <c r="G13" s="63">
        <f t="shared" si="0"/>
        <v>9.8705071292678435E-3</v>
      </c>
      <c r="I13" s="61">
        <v>45929</v>
      </c>
      <c r="J13" s="5">
        <v>40</v>
      </c>
      <c r="K13" s="62">
        <f>IF(SUMIFS(flu_aw25[cumulative_aw25_vve],flu_aw25[iso_week],$C13,flu_aw25[trust_short],$I$5)=0,"-",SUMIFS(flu_aw25[cumulative_aw25_vve],flu_aw25[iso_week],$C13,flu_aw25[trust_short],$I$5))</f>
        <v>200</v>
      </c>
      <c r="L13" s="63">
        <f>IFERROR((SUMIFS(flu_aw25[cumulative_aw25_vve],flu_aw25[iso_week],$C13,flu_aw25[trust_short],$I$5))/SUMIFS(flu_aw25[flhcw],flu_aw25[iso_week],$C13,flu_aw25[trust_short],$I$5),"-")</f>
        <v>2.8847540747151304E-2</v>
      </c>
      <c r="M13" s="63">
        <f>IFERROR((SUMIFS(flu_aw24[cumulative_aw24_vve],flu_aw24[iso_week],$C13,flu_aw24[trust_short],$I$5))/SUMIFS(flu_aw24[flhcw],flu_aw24[iso_week],$C13,flu_aw24[trust_short],$I$5),"-")</f>
        <v>8.1782778018173949E-2</v>
      </c>
      <c r="N13" s="63">
        <f t="shared" si="1"/>
        <v>-5.2935237271022645E-2</v>
      </c>
    </row>
    <row r="14" spans="2:18" x14ac:dyDescent="0.35">
      <c r="B14" s="61">
        <v>45936</v>
      </c>
      <c r="C14" s="5">
        <v>41</v>
      </c>
      <c r="D14" s="62">
        <f>IF(SUMIFS(flu_aw25[cumulative_aw25_vve],flu_aw25[iso_week],$C14)=0,"-",SUMIFS(flu_aw25[cumulative_aw25_vve],flu_aw25[iso_week],$C14))</f>
        <v>19796</v>
      </c>
      <c r="E14" s="63">
        <f>IFERROR((SUMIFS(flu_aw25[cumulative_aw25_vve],flu_aw25[iso_week],$C14))/SUMIFS(flu_aw25[flhcw],flu_aw25[iso_week],$C14),"-")</f>
        <v>0.10124174048237629</v>
      </c>
      <c r="F14" s="63">
        <f>IFERROR((SUMIFS(flu_aw24[cumulative_aw24_vve],flu_aw24[iso_week],$C14))/SUMIFS(flu_aw24[flhcw],flu_aw24[iso_week],$C14),"-")</f>
        <v>8.6144467401755215E-2</v>
      </c>
      <c r="G14" s="63">
        <f t="shared" si="0"/>
        <v>1.5097273080621074E-2</v>
      </c>
      <c r="I14" s="61">
        <v>45936</v>
      </c>
      <c r="J14" s="5">
        <v>41</v>
      </c>
      <c r="K14" s="62">
        <f>IF(SUMIFS(flu_aw25[cumulative_aw25_vve],flu_aw25[iso_week],$C14,flu_aw25[trust_short],$I$5)=0,"-",SUMIFS(flu_aw25[cumulative_aw25_vve],flu_aw25[iso_week],$C14,flu_aw25[trust_short],$I$5))</f>
        <v>544</v>
      </c>
      <c r="L14" s="63">
        <f>IFERROR((SUMIFS(flu_aw25[cumulative_aw25_vve],flu_aw25[iso_week],$C14,flu_aw25[trust_short],$I$5))/SUMIFS(flu_aw25[flhcw],flu_aw25[iso_week],$C14,flu_aw25[trust_short],$I$5),"-")</f>
        <v>7.8465310832251556E-2</v>
      </c>
      <c r="M14" s="63">
        <f>IFERROR((SUMIFS(flu_aw24[cumulative_aw24_vve],flu_aw24[iso_week],$C14,flu_aw24[trust_short],$I$5))/SUMIFS(flu_aw24[flhcw],flu_aw24[iso_week],$C14,flu_aw24[trust_short],$I$5),"-")</f>
        <v>0.14553584306937833</v>
      </c>
      <c r="N14" s="63">
        <f t="shared" si="1"/>
        <v>-6.7070532237126779E-2</v>
      </c>
    </row>
    <row r="15" spans="2:18" x14ac:dyDescent="0.35">
      <c r="B15" s="61">
        <v>45943</v>
      </c>
      <c r="C15" s="5">
        <v>42</v>
      </c>
      <c r="D15" s="62">
        <f>IF(SUMIFS(flu_aw25[cumulative_aw25_vve],flu_aw25[iso_week],$C15)=0,"-",SUMIFS(flu_aw25[cumulative_aw25_vve],flu_aw25[iso_week],$C15))</f>
        <v>30284</v>
      </c>
      <c r="E15" s="63">
        <f>IFERROR((SUMIFS(flu_aw25[cumulative_aw25_vve],flu_aw25[iso_week],$C15))/SUMIFS(flu_aw25[flhcw],flu_aw25[iso_week],$C15),"-")</f>
        <v>0.15488001963872922</v>
      </c>
      <c r="F15" s="63">
        <f>IFERROR((SUMIFS(flu_aw24[cumulative_aw24_vve],flu_aw24[iso_week],$C15))/SUMIFS(flu_aw24[flhcw],flu_aw24[iso_week],$C15),"-")</f>
        <v>0.13298590512038949</v>
      </c>
      <c r="G15" s="63">
        <f t="shared" si="0"/>
        <v>2.1894114518339725E-2</v>
      </c>
      <c r="I15" s="61">
        <v>45943</v>
      </c>
      <c r="J15" s="5">
        <v>42</v>
      </c>
      <c r="K15" s="62">
        <f>IF(SUMIFS(flu_aw25[cumulative_aw25_vve],flu_aw25[iso_week],$C15,flu_aw25[trust_short],$I$5)=0,"-",SUMIFS(flu_aw25[cumulative_aw25_vve],flu_aw25[iso_week],$C15,flu_aw25[trust_short],$I$5))</f>
        <v>806</v>
      </c>
      <c r="L15" s="63">
        <f>IFERROR((SUMIFS(flu_aw25[cumulative_aw25_vve],flu_aw25[iso_week],$C15,flu_aw25[trust_short],$I$5))/SUMIFS(flu_aw25[flhcw],flu_aw25[iso_week],$C15,flu_aw25[trust_short],$I$5),"-")</f>
        <v>0.11625558921101976</v>
      </c>
      <c r="M15" s="63">
        <f>IFERROR((SUMIFS(flu_aw24[cumulative_aw24_vve],flu_aw24[iso_week],$C15,flu_aw24[trust_short],$I$5))/SUMIFS(flu_aw24[flhcw],flu_aw24[iso_week],$C15,flu_aw24[trust_short],$I$5),"-")</f>
        <v>0.19111495744987739</v>
      </c>
      <c r="N15" s="63">
        <f t="shared" si="1"/>
        <v>-7.4859368238857624E-2</v>
      </c>
    </row>
    <row r="16" spans="2:18" x14ac:dyDescent="0.35">
      <c r="B16" s="61">
        <v>45950</v>
      </c>
      <c r="C16" s="5">
        <v>43</v>
      </c>
      <c r="D16" s="62">
        <f>IF(SUMIFS(flu_aw25[cumulative_aw25_vve],flu_aw25[iso_week],$C16)=0,"-",SUMIFS(flu_aw25[cumulative_aw25_vve],flu_aw25[iso_week],$C16))</f>
        <v>38461</v>
      </c>
      <c r="E16" s="63">
        <f>IFERROR((SUMIFS(flu_aw25[cumulative_aw25_vve],flu_aw25[iso_week],$C16))/SUMIFS(flu_aw25[flhcw],flu_aw25[iso_week],$C16),"-")</f>
        <v>0.19669926150195363</v>
      </c>
      <c r="F16" s="63">
        <f>IFERROR((SUMIFS(flu_aw24[cumulative_aw24_vve],flu_aw24[iso_week],$C16))/SUMIFS(flu_aw24[flhcw],flu_aw24[iso_week],$C16),"-")</f>
        <v>0.16928686864554141</v>
      </c>
      <c r="G16" s="63">
        <f t="shared" si="0"/>
        <v>2.7412392856412227E-2</v>
      </c>
      <c r="I16" s="61">
        <v>45950</v>
      </c>
      <c r="J16" s="5">
        <v>43</v>
      </c>
      <c r="K16" s="62">
        <f>IF(SUMIFS(flu_aw25[cumulative_aw25_vve],flu_aw25[iso_week],$C16,flu_aw25[trust_short],$I$5)=0,"-",SUMIFS(flu_aw25[cumulative_aw25_vve],flu_aw25[iso_week],$C16,flu_aw25[trust_short],$I$5))</f>
        <v>1035</v>
      </c>
      <c r="L16" s="63">
        <f>IFERROR((SUMIFS(flu_aw25[cumulative_aw25_vve],flu_aw25[iso_week],$C16,flu_aw25[trust_short],$I$5))/SUMIFS(flu_aw25[flhcw],flu_aw25[iso_week],$C16,flu_aw25[trust_short],$I$5),"-")</f>
        <v>0.14928602336650801</v>
      </c>
      <c r="M16" s="63">
        <f>IFERROR((SUMIFS(flu_aw24[cumulative_aw24_vve],flu_aw24[iso_week],$C16,flu_aw24[trust_short],$I$5))/SUMIFS(flu_aw24[flhcw],flu_aw24[iso_week],$C16,flu_aw24[trust_short],$I$5),"-")</f>
        <v>0.22169335064185777</v>
      </c>
      <c r="N16" s="63">
        <f t="shared" si="1"/>
        <v>-7.2407327275349764E-2</v>
      </c>
    </row>
    <row r="17" spans="2:14" x14ac:dyDescent="0.35">
      <c r="B17" s="61">
        <v>45957</v>
      </c>
      <c r="C17" s="5">
        <v>44</v>
      </c>
      <c r="D17" s="62">
        <f>IF(SUMIFS(flu_aw25[cumulative_aw25_vve],flu_aw25[iso_week],$C17)=0,"-",SUMIFS(flu_aw25[cumulative_aw25_vve],flu_aw25[iso_week],$C17))</f>
        <v>44907</v>
      </c>
      <c r="E17" s="63">
        <f>IFERROR((SUMIFS(flu_aw25[cumulative_aw25_vve],flu_aw25[iso_week],$C17))/SUMIFS(flu_aw25[flhcw],flu_aw25[iso_week],$C17),"-")</f>
        <v>0.22966573246322852</v>
      </c>
      <c r="F17" s="63">
        <f>IFERROR((SUMIFS(flu_aw24[cumulative_aw24_vve],flu_aw24[iso_week],$C17))/SUMIFS(flu_aw24[flhcw],flu_aw24[iso_week],$C17),"-")</f>
        <v>0.19883190475216334</v>
      </c>
      <c r="G17" s="63">
        <f t="shared" si="0"/>
        <v>3.0833827711065187E-2</v>
      </c>
      <c r="I17" s="61">
        <v>45957</v>
      </c>
      <c r="J17" s="5">
        <v>44</v>
      </c>
      <c r="K17" s="62">
        <f>IF(SUMIFS(flu_aw25[cumulative_aw25_vve],flu_aw25[iso_week],$C17,flu_aw25[trust_short],$I$5)=0,"-",SUMIFS(flu_aw25[cumulative_aw25_vve],flu_aw25[iso_week],$C17,flu_aw25[trust_short],$I$5))</f>
        <v>1247</v>
      </c>
      <c r="L17" s="63">
        <f>IFERROR((SUMIFS(flu_aw25[cumulative_aw25_vve],flu_aw25[iso_week],$C17,flu_aw25[trust_short],$I$5))/SUMIFS(flu_aw25[flhcw],flu_aw25[iso_week],$C17,flu_aw25[trust_short],$I$5),"-")</f>
        <v>0.17986441655848839</v>
      </c>
      <c r="M17" s="63">
        <f>IFERROR((SUMIFS(flu_aw24[cumulative_aw24_vve],flu_aw24[iso_week],$C17,flu_aw24[trust_short],$I$5))/SUMIFS(flu_aw24[flhcw],flu_aw24[iso_week],$C17,flu_aw24[trust_short],$I$5),"-")</f>
        <v>0.25155055531515941</v>
      </c>
      <c r="N17" s="63">
        <f t="shared" si="1"/>
        <v>-7.1686138756671014E-2</v>
      </c>
    </row>
    <row r="18" spans="2:14" x14ac:dyDescent="0.35">
      <c r="B18" s="61">
        <v>45964</v>
      </c>
      <c r="C18" s="5">
        <v>45</v>
      </c>
      <c r="D18" s="62">
        <f>IF(SUMIFS(flu_aw25[cumulative_aw25_vve],flu_aw25[iso_week],$C18)=0,"-",SUMIFS(flu_aw25[cumulative_aw25_vve],flu_aw25[iso_week],$C18))</f>
        <v>51044</v>
      </c>
      <c r="E18" s="63">
        <f>IFERROR((SUMIFS(flu_aw25[cumulative_aw25_vve],flu_aw25[iso_week],$C18))/SUMIFS(flu_aw25[flhcw],flu_aw25[iso_week],$C18),"-")</f>
        <v>0.26105189943334084</v>
      </c>
      <c r="F18" s="63">
        <f>IFERROR((SUMIFS(flu_aw24[cumulative_aw24_vve],flu_aw24[iso_week],$C18))/SUMIFS(flu_aw24[flhcw],flu_aw24[iso_week],$C18),"-")</f>
        <v>0.22468956487940592</v>
      </c>
      <c r="G18" s="63">
        <f t="shared" si="0"/>
        <v>3.6362334553934922E-2</v>
      </c>
      <c r="I18" s="61">
        <v>45964</v>
      </c>
      <c r="J18" s="5">
        <v>45</v>
      </c>
      <c r="K18" s="62">
        <f>IF(SUMIFS(flu_aw25[cumulative_aw25_vve],flu_aw25[iso_week],$C18,flu_aw25[trust_short],$I$5)=0,"-",SUMIFS(flu_aw25[cumulative_aw25_vve],flu_aw25[iso_week],$C18,flu_aw25[trust_short],$I$5))</f>
        <v>1479</v>
      </c>
      <c r="L18" s="63">
        <f>IFERROR((SUMIFS(flu_aw25[cumulative_aw25_vve],flu_aw25[iso_week],$C18,flu_aw25[trust_short],$I$5))/SUMIFS(flu_aw25[flhcw],flu_aw25[iso_week],$C18,flu_aw25[trust_short],$I$5),"-")</f>
        <v>0.21332756382518389</v>
      </c>
      <c r="M18" s="63">
        <f>IFERROR((SUMIFS(flu_aw24[cumulative_aw24_vve],flu_aw24[iso_week],$C18,flu_aw24[trust_short],$I$5))/SUMIFS(flu_aw24[flhcw],flu_aw24[iso_week],$C18,flu_aw24[trust_short],$I$5),"-")</f>
        <v>0.27924419443242465</v>
      </c>
      <c r="N18" s="63">
        <f t="shared" si="1"/>
        <v>-6.5916630607240762E-2</v>
      </c>
    </row>
    <row r="19" spans="2:14" x14ac:dyDescent="0.35">
      <c r="B19" s="61">
        <v>45971</v>
      </c>
      <c r="C19" s="5">
        <v>46</v>
      </c>
      <c r="D19" s="62">
        <f>IF(SUMIFS(flu_aw25[cumulative_aw25_vve],flu_aw25[iso_week],$C19)=0,"-",SUMIFS(flu_aw25[cumulative_aw25_vve],flu_aw25[iso_week],$C19))</f>
        <v>56548</v>
      </c>
      <c r="E19" s="63">
        <f>IFERROR((SUMIFS(flu_aw25[cumulative_aw25_vve],flu_aw25[iso_week],$C19))/SUMIFS(flu_aw25[flhcw],flu_aw25[iso_week],$C19),"-")</f>
        <v>0.28920074463514922</v>
      </c>
      <c r="F19" s="63">
        <f>IFERROR((SUMIFS(flu_aw24[cumulative_aw24_vve],flu_aw24[iso_week],$C19))/SUMIFS(flu_aw24[flhcw],flu_aw24[iso_week],$C19),"-")</f>
        <v>0.2464967371069697</v>
      </c>
      <c r="G19" s="63">
        <f t="shared" si="0"/>
        <v>4.2704007528179516E-2</v>
      </c>
      <c r="I19" s="61">
        <v>45971</v>
      </c>
      <c r="J19" s="5">
        <v>46</v>
      </c>
      <c r="K19" s="62">
        <f>IF(SUMIFS(flu_aw25[cumulative_aw25_vve],flu_aw25[iso_week],$C19,flu_aw25[trust_short],$I$5)=0,"-",SUMIFS(flu_aw25[cumulative_aw25_vve],flu_aw25[iso_week],$C19,flu_aw25[trust_short],$I$5))</f>
        <v>1632</v>
      </c>
      <c r="L19" s="63">
        <f>IFERROR((SUMIFS(flu_aw25[cumulative_aw25_vve],flu_aw25[iso_week],$C19,flu_aw25[trust_short],$I$5))/SUMIFS(flu_aw25[flhcw],flu_aw25[iso_week],$C19,flu_aw25[trust_short],$I$5),"-")</f>
        <v>0.23539593249675464</v>
      </c>
      <c r="M19" s="63">
        <f>IFERROR((SUMIFS(flu_aw24[cumulative_aw24_vve],flu_aw24[iso_week],$C19,flu_aw24[trust_short],$I$5))/SUMIFS(flu_aw24[flhcw],flu_aw24[iso_week],$C19,flu_aw24[trust_short],$I$5),"-")</f>
        <v>0.29943747295543055</v>
      </c>
      <c r="N19" s="63">
        <f t="shared" si="1"/>
        <v>-6.4041540458675911E-2</v>
      </c>
    </row>
    <row r="20" spans="2:14" x14ac:dyDescent="0.35">
      <c r="B20" s="61">
        <v>45978</v>
      </c>
      <c r="C20" s="5">
        <v>47</v>
      </c>
      <c r="D20" s="62">
        <f>IF(SUMIFS(flu_aw25[cumulative_aw25_vve],flu_aw25[iso_week],$C20)=0,"-",SUMIFS(flu_aw25[cumulative_aw25_vve],flu_aw25[iso_week],$C20))</f>
        <v>61035</v>
      </c>
      <c r="E20" s="63">
        <f>IFERROR((SUMIFS(flu_aw25[cumulative_aw25_vve],flu_aw25[iso_week],$C20))/SUMIFS(flu_aw25[flhcw],flu_aw25[iso_week],$C20),"-")</f>
        <v>0.31214839514759735</v>
      </c>
      <c r="F20" s="63">
        <f>IFERROR((SUMIFS(flu_aw24[cumulative_aw24_vve],flu_aw24[iso_week],$C20))/SUMIFS(flu_aw24[flhcw],flu_aw24[iso_week],$C20),"-")</f>
        <v>0.26437616349242066</v>
      </c>
      <c r="G20" s="63">
        <f t="shared" si="0"/>
        <v>4.7772231655176689E-2</v>
      </c>
      <c r="I20" s="61">
        <v>45978</v>
      </c>
      <c r="J20" s="5">
        <v>47</v>
      </c>
      <c r="K20" s="62">
        <f>IF(SUMIFS(flu_aw25[cumulative_aw25_vve],flu_aw25[iso_week],$C20,flu_aw25[trust_short],$I$5)=0,"-",SUMIFS(flu_aw25[cumulative_aw25_vve],flu_aw25[iso_week],$C20,flu_aw25[trust_short],$I$5))</f>
        <v>1801</v>
      </c>
      <c r="L20" s="63">
        <f>IFERROR((SUMIFS(flu_aw25[cumulative_aw25_vve],flu_aw25[iso_week],$C20,flu_aw25[trust_short],$I$5))/SUMIFS(flu_aw25[flhcw],flu_aw25[iso_week],$C20,flu_aw25[trust_short],$I$5),"-")</f>
        <v>0.25977210442809751</v>
      </c>
      <c r="M20" s="63">
        <f>IFERROR((SUMIFS(flu_aw24[cumulative_aw24_vve],flu_aw24[iso_week],$C20,flu_aw24[trust_short],$I$5))/SUMIFS(flu_aw24[flhcw],flu_aw24[iso_week],$C20,flu_aw24[trust_short],$I$5),"-")</f>
        <v>0.32323669407183037</v>
      </c>
      <c r="N20" s="63">
        <f t="shared" si="1"/>
        <v>-6.346458964373286E-2</v>
      </c>
    </row>
    <row r="21" spans="2:14" x14ac:dyDescent="0.35">
      <c r="B21" s="61">
        <v>45985</v>
      </c>
      <c r="C21" s="5">
        <v>48</v>
      </c>
      <c r="D21" s="62">
        <f>IF(SUMIFS(flu_aw25[cumulative_aw25_vve],flu_aw25[iso_week],$C21)=0,"-",SUMIFS(flu_aw25[cumulative_aw25_vve],flu_aw25[iso_week],$C21))</f>
        <v>65174</v>
      </c>
      <c r="E21" s="63">
        <f>IFERROR((SUMIFS(flu_aw25[cumulative_aw25_vve],flu_aw25[iso_week],$C21))/SUMIFS(flu_aw25[flhcw],flu_aw25[iso_week],$C21),"-")</f>
        <v>0.33331628582533807</v>
      </c>
      <c r="F21" s="63">
        <f>IFERROR((SUMIFS(flu_aw24[cumulative_aw24_vve],flu_aw24[iso_week],$C21))/SUMIFS(flu_aw24[flhcw],flu_aw24[iso_week],$C21),"-")</f>
        <v>0.27830227277376596</v>
      </c>
      <c r="G21" s="63">
        <f t="shared" si="0"/>
        <v>5.5014013051572108E-2</v>
      </c>
      <c r="I21" s="61">
        <v>45985</v>
      </c>
      <c r="J21" s="5">
        <v>48</v>
      </c>
      <c r="K21" s="62">
        <f>IF(SUMIFS(flu_aw25[cumulative_aw25_vve],flu_aw25[iso_week],$C21,flu_aw25[trust_short],$I$5)=0,"-",SUMIFS(flu_aw25[cumulative_aw25_vve],flu_aw25[iso_week],$C21,flu_aw25[trust_short],$I$5))</f>
        <v>1978</v>
      </c>
      <c r="L21" s="63">
        <f>IFERROR((SUMIFS(flu_aw25[cumulative_aw25_vve],flu_aw25[iso_week],$C21,flu_aw25[trust_short],$I$5))/SUMIFS(flu_aw25[flhcw],flu_aw25[iso_week],$C21,flu_aw25[trust_short],$I$5),"-")</f>
        <v>0.28530217798932639</v>
      </c>
      <c r="M21" s="63">
        <f>IFERROR((SUMIFS(flu_aw24[cumulative_aw24_vve],flu_aw24[iso_week],$C21,flu_aw24[trust_short],$I$5))/SUMIFS(flu_aw24[flhcw],flu_aw24[iso_week],$C21,flu_aw24[trust_short],$I$5),"-")</f>
        <v>0.33881436607529208</v>
      </c>
      <c r="N21" s="63">
        <f t="shared" si="1"/>
        <v>-5.3512188085965695E-2</v>
      </c>
    </row>
    <row r="22" spans="2:14" x14ac:dyDescent="0.35">
      <c r="B22" s="61">
        <v>45992</v>
      </c>
      <c r="C22" s="5">
        <v>49</v>
      </c>
      <c r="D22" s="62">
        <f>IF(SUMIFS(flu_aw25[cumulative_aw25_vve],flu_aw25[iso_week],$C22)=0,"-",SUMIFS(flu_aw25[cumulative_aw25_vve],flu_aw25[iso_week],$C22))</f>
        <v>67899</v>
      </c>
      <c r="E22" s="63">
        <f>IFERROR((SUMIFS(flu_aw25[cumulative_aw25_vve],flu_aw25[iso_week],$C22))/SUMIFS(flu_aw25[flhcw],flu_aw25[iso_week],$C22),"-")</f>
        <v>0.34725262361148046</v>
      </c>
      <c r="F22" s="63">
        <f>IFERROR((SUMIFS(flu_aw24[cumulative_aw24_vve],flu_aw24[iso_week],$C22))/SUMIFS(flu_aw24[flhcw],flu_aw24[iso_week],$C22),"-")</f>
        <v>0.28987582595176237</v>
      </c>
      <c r="G22" s="63">
        <f t="shared" si="0"/>
        <v>5.7376797659718093E-2</v>
      </c>
      <c r="I22" s="61">
        <v>45992</v>
      </c>
      <c r="J22" s="5">
        <v>49</v>
      </c>
      <c r="K22" s="62">
        <f>IF(SUMIFS(flu_aw25[cumulative_aw25_vve],flu_aw25[iso_week],$C22,flu_aw25[trust_short],$I$5)=0,"-",SUMIFS(flu_aw25[cumulative_aw25_vve],flu_aw25[iso_week],$C22,flu_aw25[trust_short],$I$5))</f>
        <v>2127</v>
      </c>
      <c r="L22" s="63">
        <f>IFERROR((SUMIFS(flu_aw25[cumulative_aw25_vve],flu_aw25[iso_week],$C22,flu_aw25[trust_short],$I$5))/SUMIFS(flu_aw25[flhcw],flu_aw25[iso_week],$C22,flu_aw25[trust_short],$I$5),"-")</f>
        <v>0.30679359584595411</v>
      </c>
      <c r="M22" s="63">
        <f>IFERROR((SUMIFS(flu_aw24[cumulative_aw24_vve],flu_aw24[iso_week],$C22,flu_aw24[trust_short],$I$5))/SUMIFS(flu_aw24[flhcw],flu_aw24[iso_week],$C22,flu_aw24[trust_short],$I$5),"-")</f>
        <v>0.35150728400403863</v>
      </c>
      <c r="N22" s="63">
        <f t="shared" si="1"/>
        <v>-4.4713688158084519E-2</v>
      </c>
    </row>
    <row r="23" spans="2:14" x14ac:dyDescent="0.35">
      <c r="B23" s="61">
        <v>45999</v>
      </c>
      <c r="C23" s="5">
        <v>50</v>
      </c>
      <c r="D23" s="62">
        <f>IF(SUMIFS(flu_aw25[cumulative_aw25_vve],flu_aw25[iso_week],$C23)=0,"-",SUMIFS(flu_aw25[cumulative_aw25_vve],flu_aw25[iso_week],$C23))</f>
        <v>71382</v>
      </c>
      <c r="E23" s="63">
        <f>IFERROR((SUMIFS(flu_aw25[cumulative_aw25_vve],flu_aw25[iso_week],$C23))/SUMIFS(flu_aw25[flhcw],flu_aw25[iso_week],$C23),"-")</f>
        <v>0.36506556471574986</v>
      </c>
      <c r="F23" s="63">
        <f>IFERROR((SUMIFS(flu_aw24[cumulative_aw24_vve],flu_aw24[iso_week],$C23))/SUMIFS(flu_aw24[flhcw],flu_aw24[iso_week],$C23),"-")</f>
        <v>0.30113229548104659</v>
      </c>
      <c r="G23" s="63">
        <f t="shared" si="0"/>
        <v>6.3933269234703272E-2</v>
      </c>
      <c r="I23" s="61">
        <v>45999</v>
      </c>
      <c r="J23" s="5">
        <v>50</v>
      </c>
      <c r="K23" s="62">
        <f>IF(SUMIFS(flu_aw25[cumulative_aw25_vve],flu_aw25[iso_week],$C23,flu_aw25[trust_short],$I$5)=0,"-",SUMIFS(flu_aw25[cumulative_aw25_vve],flu_aw25[iso_week],$C23,flu_aw25[trust_short],$I$5))</f>
        <v>2289</v>
      </c>
      <c r="L23" s="63">
        <f>IFERROR((SUMIFS(flu_aw25[cumulative_aw25_vve],flu_aw25[iso_week],$C23,flu_aw25[trust_short],$I$5))/SUMIFS(flu_aw25[flhcw],flu_aw25[iso_week],$C23,flu_aw25[trust_short],$I$5),"-")</f>
        <v>0.33016010385114669</v>
      </c>
      <c r="M23" s="63">
        <f>IFERROR((SUMIFS(flu_aw24[cumulative_aw24_vve],flu_aw24[iso_week],$C23,flu_aw24[trust_short],$I$5))/SUMIFS(flu_aw24[flhcw],flu_aw24[iso_week],$C23,flu_aw24[trust_short],$I$5),"-")</f>
        <v>0.36405596422904946</v>
      </c>
      <c r="N23" s="63">
        <f t="shared" si="1"/>
        <v>-3.3895860377902765E-2</v>
      </c>
    </row>
    <row r="24" spans="2:14" x14ac:dyDescent="0.35">
      <c r="B24" s="61">
        <f>B23+7</f>
        <v>46006</v>
      </c>
      <c r="C24" s="5">
        <v>51</v>
      </c>
      <c r="D24" s="62">
        <f>IF(SUMIFS(flu_aw25[cumulative_aw25_vve],flu_aw25[iso_week],$C24)=0,"-",SUMIFS(flu_aw25[cumulative_aw25_vve],flu_aw25[iso_week],$C24))</f>
        <v>74313</v>
      </c>
      <c r="E24" s="63">
        <f>IFERROR((SUMIFS(flu_aw25[cumulative_aw25_vve],flu_aw25[iso_week],$C24))/SUMIFS(flu_aw25[flhcw],flu_aw25[iso_week],$C24),"-")</f>
        <v>0.38005543849600065</v>
      </c>
      <c r="F24" s="63">
        <f>IFERROR((SUMIFS(flu_aw24[cumulative_aw24_vve],flu_aw24[iso_week],$C24))/SUMIFS(flu_aw24[flhcw],flu_aw24[iso_week],$C24),"-")</f>
        <v>0.31080334676676963</v>
      </c>
      <c r="G24" s="63">
        <f t="shared" si="0"/>
        <v>6.9252091729231025E-2</v>
      </c>
      <c r="I24" s="61">
        <f>I23+7</f>
        <v>46006</v>
      </c>
      <c r="J24" s="5">
        <v>51</v>
      </c>
      <c r="K24" s="62">
        <f>IF(SUMIFS(flu_aw25[cumulative_aw25_vve],flu_aw25[iso_week],$C24,flu_aw25[trust_short],$I$5)=0,"-",SUMIFS(flu_aw25[cumulative_aw25_vve],flu_aw25[iso_week],$C24,flu_aw25[trust_short],$I$5))</f>
        <v>2441</v>
      </c>
      <c r="L24" s="63">
        <f>IFERROR((SUMIFS(flu_aw25[cumulative_aw25_vve],flu_aw25[iso_week],$C24,flu_aw25[trust_short],$I$5))/SUMIFS(flu_aw25[flhcw],flu_aw25[iso_week],$C24,flu_aw25[trust_short],$I$5),"-")</f>
        <v>0.35208423481898166</v>
      </c>
      <c r="M24" s="63">
        <f>IFERROR((SUMIFS(flu_aw24[cumulative_aw24_vve],flu_aw24[iso_week],$C24,flu_aw24[trust_short],$I$5))/SUMIFS(flu_aw24[flhcw],flu_aw24[iso_week],$C24,flu_aw24[trust_short],$I$5),"-")</f>
        <v>0.37501802971296699</v>
      </c>
      <c r="N24" s="63">
        <f t="shared" si="1"/>
        <v>-2.2933794893985338E-2</v>
      </c>
    </row>
    <row r="25" spans="2:14" x14ac:dyDescent="0.35">
      <c r="B25" s="61">
        <f t="shared" ref="B25:B35" si="2">B24+7</f>
        <v>46013</v>
      </c>
      <c r="C25" s="5">
        <v>52</v>
      </c>
      <c r="D25" s="62">
        <f>IF(SUMIFS(flu_aw25[cumulative_aw25_vve],flu_aw25[iso_week],$C25)=0,"-",SUMIFS(flu_aw25[cumulative_aw25_vve],flu_aw25[iso_week],$C25))</f>
        <v>74830</v>
      </c>
      <c r="E25" s="63">
        <f>IFERROR((SUMIFS(flu_aw25[cumulative_aw25_vve],flu_aw25[iso_week],$C25))/SUMIFS(flu_aw25[flhcw],flu_aw25[iso_week],$C25),"-")</f>
        <v>0.38269950698606875</v>
      </c>
      <c r="F25" s="63">
        <f>IFERROR((SUMIFS(flu_aw24[cumulative_aw24_vve],flu_aw24[iso_week],$C25))/SUMIFS(flu_aw24[flhcw],flu_aw24[iso_week],$C25),"-")</f>
        <v>0.31001986201129</v>
      </c>
      <c r="G25" s="63">
        <f t="shared" si="0"/>
        <v>7.2679644974778745E-2</v>
      </c>
      <c r="I25" s="61">
        <f t="shared" ref="I25:I29" si="3">I24+7</f>
        <v>46013</v>
      </c>
      <c r="J25" s="5">
        <v>52</v>
      </c>
      <c r="K25" s="62">
        <f>IF(SUMIFS(flu_aw25[cumulative_aw25_vve],flu_aw25[iso_week],$C25,flu_aw25[trust_short],$I$5)=0,"-",SUMIFS(flu_aw25[cumulative_aw25_vve],flu_aw25[iso_week],$C25,flu_aw25[trust_short],$I$5))</f>
        <v>2471</v>
      </c>
      <c r="L25" s="63">
        <f>IFERROR((SUMIFS(flu_aw25[cumulative_aw25_vve],flu_aw25[iso_week],$C25,flu_aw25[trust_short],$I$5))/SUMIFS(flu_aw25[flhcw],flu_aw25[iso_week],$C25,flu_aw25[trust_short],$I$5),"-")</f>
        <v>0.35641136593105438</v>
      </c>
      <c r="M25" s="63">
        <f>IFERROR((SUMIFS(flu_aw24[cumulative_aw24_vve],flu_aw24[iso_week],$C25,flu_aw24[trust_short],$I$5))/SUMIFS(flu_aw24[flhcw],flu_aw24[iso_week],$C25,flu_aw24[trust_short],$I$5),"-")</f>
        <v>0.3753065051204385</v>
      </c>
      <c r="N25" s="63">
        <f t="shared" si="1"/>
        <v>-1.8895139189384125E-2</v>
      </c>
    </row>
    <row r="26" spans="2:14" x14ac:dyDescent="0.35">
      <c r="B26" s="61">
        <f t="shared" si="2"/>
        <v>46020</v>
      </c>
      <c r="C26" s="5">
        <v>1</v>
      </c>
      <c r="D26" s="62">
        <f>IF(SUMIFS(flu_aw25[cumulative_aw25_vve],flu_aw25[iso_week],$C26)=0,"-",SUMIFS(flu_aw25[cumulative_aw25_vve],flu_aw25[iso_week],$C26))</f>
        <v>74828</v>
      </c>
      <c r="E26" s="63">
        <f>IFERROR((SUMIFS(flu_aw25[cumulative_aw25_vve],flu_aw25[iso_week],$C26))/SUMIFS(flu_aw25[flhcw],flu_aw25[iso_week],$C26),"-")</f>
        <v>0.38466046368169432</v>
      </c>
      <c r="F26" s="63">
        <f>IFERROR((SUMIFS(flu_aw24[cumulative_aw24_vve],flu_aw24[iso_week],$C26))/SUMIFS(flu_aw24[flhcw],flu_aw24[iso_week],$C26),"-")</f>
        <v>0.31400739725745136</v>
      </c>
      <c r="G26" s="63">
        <f t="shared" si="0"/>
        <v>7.0653066424242961E-2</v>
      </c>
      <c r="I26" s="61">
        <f t="shared" si="3"/>
        <v>46020</v>
      </c>
      <c r="J26" s="5">
        <v>1</v>
      </c>
      <c r="K26" s="62">
        <f>IF(SUMIFS(flu_aw25[cumulative_aw25_vve],flu_aw25[iso_week],$C26,flu_aw25[trust_short],$I$5)=0,"-",SUMIFS(flu_aw25[cumulative_aw25_vve],flu_aw25[iso_week],$C26,flu_aw25[trust_short],$I$5))</f>
        <v>2482</v>
      </c>
      <c r="L26" s="63">
        <f>IFERROR((SUMIFS(flu_aw25[cumulative_aw25_vve],flu_aw25[iso_week],$C26,flu_aw25[trust_short],$I$5))/SUMIFS(flu_aw25[flhcw],flu_aw25[iso_week],$C26,flu_aw25[trust_short],$I$5),"-")</f>
        <v>0.35799798067214772</v>
      </c>
      <c r="M26" s="63">
        <f>IFERROR((SUMIFS(flu_aw24[cumulative_aw24_vve],flu_aw24[iso_week],$C26,flu_aw24[trust_short],$I$5))/SUMIFS(flu_aw24[flhcw],flu_aw24[iso_week],$C26,flu_aw24[trust_short],$I$5),"-")</f>
        <v>0.37631616904658877</v>
      </c>
      <c r="N26" s="63">
        <f t="shared" si="1"/>
        <v>-1.8318188374441047E-2</v>
      </c>
    </row>
    <row r="27" spans="2:14" x14ac:dyDescent="0.35">
      <c r="B27" s="61">
        <f t="shared" si="2"/>
        <v>46027</v>
      </c>
      <c r="C27" s="5">
        <v>2</v>
      </c>
      <c r="D27" s="62">
        <f>IF(SUMIFS(flu_aw25[cumulative_aw25_vve],flu_aw25[iso_week],$C27)=0,"-",SUMIFS(flu_aw25[cumulative_aw25_vve],flu_aw25[iso_week],$C27))</f>
        <v>75931</v>
      </c>
      <c r="E27" s="63">
        <f>IFERROR((SUMIFS(flu_aw25[cumulative_aw25_vve],flu_aw25[iso_week],$C27))/SUMIFS(flu_aw25[flhcw],flu_aw25[iso_week],$C27),"-")</f>
        <v>0.38833029887691017</v>
      </c>
      <c r="F27" s="63">
        <f>IFERROR((SUMIFS(flu_aw24[cumulative_aw24_vve],flu_aw24[iso_week],$C27))/SUMIFS(flu_aw24[flhcw],flu_aw24[iso_week],$C27),"-")</f>
        <v>0.32034356934935015</v>
      </c>
      <c r="G27" s="63">
        <f t="shared" si="0"/>
        <v>6.7986729527560019E-2</v>
      </c>
      <c r="I27" s="61">
        <f t="shared" si="3"/>
        <v>46027</v>
      </c>
      <c r="J27" s="5">
        <v>2</v>
      </c>
      <c r="K27" s="62">
        <f>IF(SUMIFS(flu_aw25[cumulative_aw25_vve],flu_aw25[iso_week],$C27,flu_aw25[trust_short],$I$5)=0,"-",SUMIFS(flu_aw25[cumulative_aw25_vve],flu_aw25[iso_week],$C27,flu_aw25[trust_short],$I$5))</f>
        <v>2529</v>
      </c>
      <c r="L27" s="63">
        <f>IFERROR((SUMIFS(flu_aw25[cumulative_aw25_vve],flu_aw25[iso_week],$C27,flu_aw25[trust_short],$I$5))/SUMIFS(flu_aw25[flhcw],flu_aw25[iso_week],$C27,flu_aw25[trust_short],$I$5),"-")</f>
        <v>0.36477715274772826</v>
      </c>
      <c r="M27" s="63">
        <f>IFERROR((SUMIFS(flu_aw24[cumulative_aw24_vve],flu_aw24[iso_week],$C27,flu_aw24[trust_short],$I$5))/SUMIFS(flu_aw24[flhcw],flu_aw24[iso_week],$C27,flu_aw24[trust_short],$I$5),"-")</f>
        <v>0.38756670993797776</v>
      </c>
      <c r="N27" s="63">
        <f t="shared" si="1"/>
        <v>-2.2789557190249499E-2</v>
      </c>
    </row>
    <row r="28" spans="2:14" x14ac:dyDescent="0.35">
      <c r="B28" s="61">
        <f t="shared" si="2"/>
        <v>46034</v>
      </c>
      <c r="C28" s="5">
        <v>3</v>
      </c>
      <c r="D28" s="62">
        <f>IF(SUMIFS(flu_aw25[cumulative_aw25_vve],flu_aw25[iso_week],$C28)=0,"-",SUMIFS(flu_aw25[cumulative_aw25_vve],flu_aw25[iso_week],$C28))</f>
        <v>76499</v>
      </c>
      <c r="E28" s="63">
        <f>IFERROR((SUMIFS(flu_aw25[cumulative_aw25_vve],flu_aw25[iso_week],$C28))/SUMIFS(flu_aw25[flhcw],flu_aw25[iso_week],$C28),"-")</f>
        <v>0.39123519423930608</v>
      </c>
      <c r="F28" s="63">
        <f>IFERROR((SUMIFS(flu_aw24[cumulative_aw24_vve],flu_aw24[iso_week],$C28))/SUMIFS(flu_aw24[flhcw],flu_aw24[iso_week],$C28),"-")</f>
        <v>0.32483685534848517</v>
      </c>
      <c r="G28" s="63">
        <f t="shared" si="0"/>
        <v>6.6398338890820918E-2</v>
      </c>
      <c r="I28" s="61">
        <f t="shared" si="3"/>
        <v>46034</v>
      </c>
      <c r="J28" s="5">
        <v>3</v>
      </c>
      <c r="K28" s="62">
        <f>IF(SUMIFS(flu_aw25[cumulative_aw25_vve],flu_aw25[iso_week],$C28,flu_aw25[trust_short],$I$5)=0,"-",SUMIFS(flu_aw25[cumulative_aw25_vve],flu_aw25[iso_week],$C28,flu_aw25[trust_short],$I$5))</f>
        <v>2579</v>
      </c>
      <c r="L28" s="63">
        <f>IFERROR((SUMIFS(flu_aw25[cumulative_aw25_vve],flu_aw25[iso_week],$C28,flu_aw25[trust_short],$I$5))/SUMIFS(flu_aw25[flhcw],flu_aw25[iso_week],$C28,flu_aw25[trust_short],$I$5),"-")</f>
        <v>0.3719890379345161</v>
      </c>
      <c r="M28" s="63">
        <f>IFERROR((SUMIFS(flu_aw24[cumulative_aw24_vve],flu_aw24[iso_week],$C28,flu_aw24[trust_short],$I$5))/SUMIFS(flu_aw24[flhcw],flu_aw24[iso_week],$C28,flu_aw24[trust_short],$I$5),"-")</f>
        <v>0.39434588201355836</v>
      </c>
      <c r="N28" s="63">
        <f t="shared" si="1"/>
        <v>-2.235684407904226E-2</v>
      </c>
    </row>
    <row r="29" spans="2:14" x14ac:dyDescent="0.35">
      <c r="B29" s="61">
        <f t="shared" si="2"/>
        <v>46041</v>
      </c>
      <c r="C29" s="5">
        <v>4</v>
      </c>
      <c r="D29" s="62">
        <f>IF(SUMIFS(flu_aw25[cumulative_aw25_vve],flu_aw25[iso_week],$C29)=0,"-",SUMIFS(flu_aw25[cumulative_aw25_vve],flu_aw25[iso_week],$C29))</f>
        <v>75179</v>
      </c>
      <c r="E29" s="63">
        <f>IFERROR((SUMIFS(flu_aw25[cumulative_aw25_vve],flu_aw25[iso_week],$C29))/SUMIFS(flu_aw25[flhcw],flu_aw25[iso_week],$C29),"-")</f>
        <v>0.39182667250401315</v>
      </c>
      <c r="F29" s="63">
        <f>IFERROR((SUMIFS(flu_aw24[cumulative_aw24_vve],flu_aw24[iso_week],$C29))/SUMIFS(flu_aw24[flhcw],flu_aw24[iso_week],$C29),"-")</f>
        <v>0.32808720429666682</v>
      </c>
      <c r="G29" s="63">
        <f t="shared" si="0"/>
        <v>6.3739468207346328E-2</v>
      </c>
      <c r="I29" s="61">
        <f t="shared" si="3"/>
        <v>46041</v>
      </c>
      <c r="J29" s="5">
        <v>4</v>
      </c>
      <c r="K29" s="62">
        <f>IF(SUMIFS(flu_aw25[cumulative_aw25_vve],flu_aw25[iso_week],$C29,flu_aw25[trust_short],$I$5)=0,"-",SUMIFS(flu_aw25[cumulative_aw25_vve],flu_aw25[iso_week],$C29,flu_aw25[trust_short],$I$5))</f>
        <v>2613</v>
      </c>
      <c r="L29" s="63">
        <f>IFERROR((SUMIFS(flu_aw25[cumulative_aw25_vve],flu_aw25[iso_week],$C29,flu_aw25[trust_short],$I$5))/SUMIFS(flu_aw25[flhcw],flu_aw25[iso_week],$C29,flu_aw25[trust_short],$I$5),"-")</f>
        <v>0.37689311986153179</v>
      </c>
      <c r="M29" s="63">
        <f>IFERROR((SUMIFS(flu_aw24[cumulative_aw24_vve],flu_aw24[iso_week],$C29,flu_aw24[trust_short],$I$5))/SUMIFS(flu_aw24[flhcw],flu_aw24[iso_week],$C29,flu_aw24[trust_short],$I$5),"-")</f>
        <v>0.39924996394057405</v>
      </c>
      <c r="N29" s="63">
        <f t="shared" si="1"/>
        <v>-2.235684407904226E-2</v>
      </c>
    </row>
    <row r="30" spans="2:14" x14ac:dyDescent="0.35">
      <c r="B30" s="61">
        <f>B29+7</f>
        <v>46048</v>
      </c>
      <c r="C30" s="5">
        <v>5</v>
      </c>
      <c r="D30" s="62">
        <f>IF(SUMIFS(flu_aw25[cumulative_aw25_vve],flu_aw25[iso_week],$C30)=0,"-",SUMIFS(flu_aw25[cumulative_aw25_vve],flu_aw25[iso_week],$C30))</f>
        <v>76576</v>
      </c>
      <c r="E30" s="63">
        <f>IFERROR((SUMIFS(flu_aw25[cumulative_aw25_vve],flu_aw25[iso_week],$C30))/SUMIFS(flu_aw25[flhcw],flu_aw25[iso_week],$C30),"-")</f>
        <v>0.39446545027456392</v>
      </c>
      <c r="F30" s="63">
        <f>IFERROR((SUMIFS(flu_aw24[cumulative_aw24_vve],flu_aw24[iso_week],$C30))/SUMIFS(flu_aw24[flhcw],flu_aw24[iso_week],$C30),"-")</f>
        <v>0.33001414456151862</v>
      </c>
      <c r="G30" s="63">
        <f t="shared" si="0"/>
        <v>6.4451305713045304E-2</v>
      </c>
      <c r="I30" s="61">
        <f>I29+7</f>
        <v>46048</v>
      </c>
      <c r="J30" s="5">
        <v>5</v>
      </c>
      <c r="K30" s="62">
        <f>IF(SUMIFS(flu_aw25[cumulative_aw25_vve],flu_aw25[iso_week],$C30,flu_aw25[trust_short],$I$5)=0,"-",SUMIFS(flu_aw25[cumulative_aw25_vve],flu_aw25[iso_week],$C30,flu_aw25[trust_short],$I$5))</f>
        <v>2650</v>
      </c>
      <c r="L30" s="63">
        <f>IFERROR((SUMIFS(flu_aw25[cumulative_aw25_vve],flu_aw25[iso_week],$C30,flu_aw25[trust_short],$I$5))/SUMIFS(flu_aw25[flhcw],flu_aw25[iso_week],$C30,flu_aw25[trust_short],$I$5),"-")</f>
        <v>0.38222991489975477</v>
      </c>
      <c r="M30" s="63">
        <f>IFERROR((SUMIFS(flu_aw24[cumulative_aw24_vve],flu_aw24[iso_week],$C30,flu_aw24[trust_short],$I$5))/SUMIFS(flu_aw24[flhcw],flu_aw24[iso_week],$C30,flu_aw24[trust_short],$I$5),"-")</f>
        <v>0.40126929179287468</v>
      </c>
      <c r="N30" s="63">
        <f t="shared" si="1"/>
        <v>-1.9039376893119908E-2</v>
      </c>
    </row>
    <row r="31" spans="2:14" x14ac:dyDescent="0.35">
      <c r="B31" s="61">
        <f t="shared" si="2"/>
        <v>46055</v>
      </c>
      <c r="C31" s="5">
        <v>6</v>
      </c>
      <c r="D31" s="62">
        <f>IF(SUMIFS(flu_aw25[cumulative_aw25_vve],flu_aw25[iso_week],$C31)=0,"-",SUMIFS(flu_aw25[cumulative_aw25_vve],flu_aw25[iso_week],$C31))</f>
        <v>70828</v>
      </c>
      <c r="E31" s="63">
        <f>IFERROR((SUMIFS(flu_aw25[cumulative_aw25_vve],flu_aw25[iso_week],$C31))/SUMIFS(flu_aw25[flhcw],flu_aw25[iso_week],$C31),"-")</f>
        <v>0.39150093414550557</v>
      </c>
      <c r="F31" s="63">
        <f>IFERROR((SUMIFS(flu_aw24[cumulative_aw24_vve],flu_aw24[iso_week],$C31))/SUMIFS(flu_aw24[flhcw],flu_aw24[iso_week],$C31),"-")</f>
        <v>0.33136710261981878</v>
      </c>
      <c r="G31" s="63">
        <f t="shared" si="0"/>
        <v>6.0133831525686798E-2</v>
      </c>
      <c r="I31" s="61">
        <f t="shared" ref="I31:I33" si="4">I30+7</f>
        <v>46055</v>
      </c>
      <c r="J31" s="5">
        <v>6</v>
      </c>
      <c r="K31" s="62">
        <f>IF(SUMIFS(flu_aw25[cumulative_aw25_vve],flu_aw25[iso_week],$C31,flu_aw25[trust_short],$I$5)=0,"-",SUMIFS(flu_aw25[cumulative_aw25_vve],flu_aw25[iso_week],$C31,flu_aw25[trust_short],$I$5))</f>
        <v>2671</v>
      </c>
      <c r="L31" s="63">
        <f>IFERROR((SUMIFS(flu_aw25[cumulative_aw25_vve],flu_aw25[iso_week],$C31,flu_aw25[trust_short],$I$5))/SUMIFS(flu_aw25[flhcw],flu_aw25[iso_week],$C31,flu_aw25[trust_short],$I$5),"-")</f>
        <v>0.38525890667820567</v>
      </c>
      <c r="M31" s="63">
        <f>IFERROR((SUMIFS(flu_aw24[cumulative_aw24_vve],flu_aw24[iso_week],$C31,flu_aw24[trust_short],$I$5))/SUMIFS(flu_aw24[flhcw],flu_aw24[iso_week],$C31,flu_aw24[trust_short],$I$5),"-")</f>
        <v>0.40357709505264677</v>
      </c>
      <c r="N31" s="63">
        <f t="shared" si="1"/>
        <v>-1.8318188374441102E-2</v>
      </c>
    </row>
    <row r="32" spans="2:14" x14ac:dyDescent="0.35">
      <c r="B32" s="61">
        <f t="shared" si="2"/>
        <v>46062</v>
      </c>
      <c r="C32" s="5">
        <v>7</v>
      </c>
      <c r="D32" s="62">
        <f>IF(SUMIFS(flu_aw25[cumulative_aw25_vve],flu_aw25[iso_week],$C32)=0,"-",SUMIFS(flu_aw25[cumulative_aw25_vve],flu_aw25[iso_week],$C32))</f>
        <v>67641</v>
      </c>
      <c r="E32" s="63">
        <f>IFERROR((SUMIFS(flu_aw25[cumulative_aw25_vve],flu_aw25[iso_week],$C32))/SUMIFS(flu_aw25[flhcw],flu_aw25[iso_week],$C32),"-")</f>
        <v>0.38960118883052253</v>
      </c>
      <c r="F32" s="63">
        <f>IFERROR((SUMIFS(flu_aw24[cumulative_aw24_vve],flu_aw24[iso_week],$C32))/SUMIFS(flu_aw24[flhcw],flu_aw24[iso_week],$C32),"-")</f>
        <v>0.33268154090415308</v>
      </c>
      <c r="G32" s="63">
        <f t="shared" si="0"/>
        <v>5.6919647926369443E-2</v>
      </c>
      <c r="I32" s="61">
        <f t="shared" si="4"/>
        <v>46062</v>
      </c>
      <c r="J32" s="5">
        <v>7</v>
      </c>
      <c r="K32" s="62">
        <f>IF(SUMIFS(flu_aw25[cumulative_aw25_vve],flu_aw25[iso_week],$C32,flu_aw25[trust_short],$I$5)=0,"-",SUMIFS(flu_aw25[cumulative_aw25_vve],flu_aw25[iso_week],$C32,flu_aw25[trust_short],$I$5))</f>
        <v>2702</v>
      </c>
      <c r="L32" s="63">
        <f>IFERROR((SUMIFS(flu_aw25[cumulative_aw25_vve],flu_aw25[iso_week],$C32,flu_aw25[trust_short],$I$5))/SUMIFS(flu_aw25[flhcw],flu_aw25[iso_week],$C32,flu_aw25[trust_short],$I$5),"-")</f>
        <v>0.38973027549401412</v>
      </c>
      <c r="M32" s="63">
        <f>IFERROR((SUMIFS(flu_aw24[cumulative_aw24_vve],flu_aw24[iso_week],$C32,flu_aw24[trust_short],$I$5))/SUMIFS(flu_aw24[flhcw],flu_aw24[iso_week],$C32,flu_aw24[trust_short],$I$5),"-")</f>
        <v>0.40545218520121162</v>
      </c>
      <c r="N32" s="63">
        <f t="shared" si="1"/>
        <v>-1.5721909707197501E-2</v>
      </c>
    </row>
    <row r="33" spans="2:14" x14ac:dyDescent="0.35">
      <c r="B33" s="61">
        <f t="shared" si="2"/>
        <v>46069</v>
      </c>
      <c r="C33" s="5">
        <v>8</v>
      </c>
      <c r="D33" s="62">
        <f>IF(SUMIFS(flu_aw25[cumulative_aw25_vve],flu_aw25[iso_week],$C33)=0,"-",SUMIFS(flu_aw25[cumulative_aw25_vve],flu_aw25[iso_week],$C33))</f>
        <v>58157</v>
      </c>
      <c r="E33" s="63">
        <f>IFERROR((SUMIFS(flu_aw25[cumulative_aw25_vve],flu_aw25[iso_week],$C33))/SUMIFS(flu_aw25[flhcw],flu_aw25[iso_week],$C33),"-")</f>
        <v>0.38676189906164171</v>
      </c>
      <c r="F33" s="63">
        <f>IFERROR((SUMIFS(flu_aw24[cumulative_aw24_vve],flu_aw24[iso_week],$C33))/SUMIFS(flu_aw24[flhcw],flu_aw24[iso_week],$C33),"-")</f>
        <v>0.33279189958865096</v>
      </c>
      <c r="G33" s="63">
        <f t="shared" si="0"/>
        <v>5.3969999472990748E-2</v>
      </c>
      <c r="I33" s="61">
        <f t="shared" si="4"/>
        <v>46069</v>
      </c>
      <c r="J33" s="5">
        <v>8</v>
      </c>
      <c r="K33" s="62">
        <f>IF(SUMIFS(flu_aw25[cumulative_aw25_vve],flu_aw25[iso_week],$C33,flu_aw25[trust_short],$I$5)=0,"-",SUMIFS(flu_aw25[cumulative_aw25_vve],flu_aw25[iso_week],$C33,flu_aw25[trust_short],$I$5))</f>
        <v>2713</v>
      </c>
      <c r="L33" s="63">
        <f>IFERROR((SUMIFS(flu_aw25[cumulative_aw25_vve],flu_aw25[iso_week],$C33,flu_aw25[trust_short],$I$5))/SUMIFS(flu_aw25[flhcw],flu_aw25[iso_week],$C33,flu_aw25[trust_short],$I$5),"-")</f>
        <v>0.39131689023510746</v>
      </c>
      <c r="M33" s="63">
        <f>IFERROR((SUMIFS(flu_aw24[cumulative_aw24_vve],flu_aw24[iso_week],$C33,flu_aw24[trust_short],$I$5))/SUMIFS(flu_aw24[flhcw],flu_aw24[iso_week],$C33,flu_aw24[trust_short],$I$5),"-")</f>
        <v>0.40718303764604069</v>
      </c>
      <c r="N33" s="63">
        <f t="shared" si="1"/>
        <v>-1.5866147410933229E-2</v>
      </c>
    </row>
    <row r="34" spans="2:14" x14ac:dyDescent="0.35">
      <c r="B34" s="61">
        <f>B33+7</f>
        <v>46076</v>
      </c>
      <c r="C34" s="5">
        <v>9</v>
      </c>
      <c r="D34" s="62">
        <f>IF(SUMIFS(flu_aw25[cumulative_aw25_vve],flu_aw25[iso_week],$C34)=0,"-",SUMIFS(flu_aw25[cumulative_aw25_vve],flu_aw25[iso_week],$C34))</f>
        <v>71399</v>
      </c>
      <c r="E34" s="63">
        <f>IFERROR((SUMIFS(flu_aw25[cumulative_aw25_vve],flu_aw25[iso_week],$C34))/SUMIFS(flu_aw25[flhcw],flu_aw25[iso_week],$C34),"-")</f>
        <v>0.39382991163524439</v>
      </c>
      <c r="F34" s="63">
        <f>IFERROR((SUMIFS(flu_aw24[cumulative_aw24_vve],flu_aw24[iso_week],$C34))/SUMIFS(flu_aw24[flhcw],flu_aw24[iso_week],$C34),"-")</f>
        <v>0.33113453282523758</v>
      </c>
      <c r="G34" s="63">
        <f t="shared" si="0"/>
        <v>6.2695378810006808E-2</v>
      </c>
      <c r="I34" s="61">
        <f>I33+7</f>
        <v>46076</v>
      </c>
      <c r="J34" s="5">
        <v>9</v>
      </c>
      <c r="K34" s="62">
        <f>IF(SUMIFS(flu_aw25[cumulative_aw25_vve],flu_aw25[iso_week],$C34,flu_aw25[trust_short],$I$5)=0,"-",SUMIFS(flu_aw25[cumulative_aw25_vve],flu_aw25[iso_week],$C34,flu_aw25[trust_short],$I$5))</f>
        <v>2732</v>
      </c>
      <c r="L34" s="63">
        <f>IFERROR((SUMIFS(flu_aw25[cumulative_aw25_vve],flu_aw25[iso_week],$C34,flu_aw25[trust_short],$I$5))/SUMIFS(flu_aw25[flhcw],flu_aw25[iso_week],$C34,flu_aw25[trust_short],$I$5),"-")</f>
        <v>0.39405740660608685</v>
      </c>
      <c r="M34" s="63">
        <f>IFERROR((SUMIFS(flu_aw24[cumulative_aw24_vve],flu_aw24[iso_week],$C34,flu_aw24[trust_short],$I$5))/SUMIFS(flu_aw24[flhcw],flu_aw24[iso_week],$C34,flu_aw24[trust_short],$I$5),"-")</f>
        <v>0.40819270157219095</v>
      </c>
      <c r="N34" s="63">
        <f t="shared" si="1"/>
        <v>-1.4135294966104106E-2</v>
      </c>
    </row>
    <row r="35" spans="2:14" x14ac:dyDescent="0.35">
      <c r="B35" s="61">
        <f t="shared" si="2"/>
        <v>46083</v>
      </c>
      <c r="C35" s="5">
        <v>10</v>
      </c>
      <c r="D35" s="62" t="str">
        <f>IF(SUMIFS(flu_aw25[cumulative_aw25_vve],flu_aw25[iso_week],$C35)=0,"-",SUMIFS(flu_aw25[cumulative_aw25_vve],flu_aw25[iso_week],$C35))</f>
        <v>-</v>
      </c>
      <c r="E35" s="63" t="str">
        <f>IFERROR((SUMIFS(flu_aw25[cumulative_aw25_vve],flu_aw25[iso_week],$C35))/SUMIFS(flu_aw25[flhcw],flu_aw25[iso_week],$C35),"-")</f>
        <v>-</v>
      </c>
      <c r="F35" s="63">
        <f>IFERROR((SUMIFS(flu_aw24[cumulative_aw24_vve],flu_aw24[iso_week],$C35))/SUMIFS(flu_aw24[flhcw],flu_aw24[iso_week],$C35),"-")</f>
        <v>0.3349743319731473</v>
      </c>
      <c r="G35" s="63" t="str">
        <f t="shared" si="0"/>
        <v>-</v>
      </c>
      <c r="I35" s="61">
        <f t="shared" ref="I35" si="5">I34+7</f>
        <v>46083</v>
      </c>
      <c r="J35" s="5">
        <v>10</v>
      </c>
      <c r="K35" s="62" t="str">
        <f>IF(SUMIFS(flu_aw25[cumulative_aw25_vve],flu_aw25[iso_week],$C35,flu_aw25[trust_short],$I$5)=0,"-",SUMIFS(flu_aw25[cumulative_aw25_vve],flu_aw25[iso_week],$C35,flu_aw25[trust_short],$I$5))</f>
        <v>-</v>
      </c>
      <c r="L35" s="63" t="str">
        <f>IFERROR((SUMIFS(flu_aw25[cumulative_aw25_vve],flu_aw25[iso_week],$C35,flu_aw25[trust_short],$I$5))/SUMIFS(flu_aw25[flhcw],flu_aw25[iso_week],$C35,flu_aw25[trust_short],$I$5),"-")</f>
        <v>-</v>
      </c>
      <c r="M35" s="63">
        <f>IFERROR((SUMIFS(flu_aw24[cumulative_aw24_vve],flu_aw24[iso_week],$C35,flu_aw24[trust_short],$I$5))/SUMIFS(flu_aw24[flhcw],flu_aw24[iso_week],$C35,flu_aw24[trust_short],$I$5),"-")</f>
        <v>0.40848117697966246</v>
      </c>
      <c r="N35" s="63" t="str">
        <f t="shared" si="1"/>
        <v>-</v>
      </c>
    </row>
    <row r="36" spans="2:14" x14ac:dyDescent="0.35">
      <c r="B36" s="43"/>
    </row>
    <row r="42" spans="2:14" ht="29.15" customHeight="1" x14ac:dyDescent="0.35"/>
    <row r="53" ht="29.15" customHeight="1" x14ac:dyDescent="0.35"/>
  </sheetData>
  <mergeCells count="2">
    <mergeCell ref="I4:J4"/>
    <mergeCell ref="I5:J5"/>
  </mergeCells>
  <conditionalFormatting sqref="G9:G35">
    <cfRule type="cellIs" dxfId="7" priority="5" operator="equal">
      <formula>"-"</formula>
    </cfRule>
    <cfRule type="cellIs" dxfId="6" priority="6" operator="greaterThanOrEqual">
      <formula>5%</formula>
    </cfRule>
    <cfRule type="cellIs" dxfId="5" priority="7" operator="between">
      <formula>0%</formula>
      <formula>5%</formula>
    </cfRule>
    <cfRule type="cellIs" dxfId="4" priority="8" operator="lessThan">
      <formula>0%</formula>
    </cfRule>
  </conditionalFormatting>
  <conditionalFormatting sqref="N9:N35">
    <cfRule type="cellIs" dxfId="3" priority="1" operator="equal">
      <formula>"-"</formula>
    </cfRule>
    <cfRule type="cellIs" dxfId="2" priority="2" operator="greaterThanOrEqual">
      <formula>5%</formula>
    </cfRule>
    <cfRule type="cellIs" dxfId="1" priority="3" operator="between">
      <formula>0%</formula>
      <formula>5%</formula>
    </cfRule>
    <cfRule type="cellIs" dxfId="0" priority="4" operator="lessThan">
      <formula>0%</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395969E4-12DD-4F1E-95A0-D94A31F36CB7}">
          <x14:formula1>
            <xm:f>data1!$AI$5:$AI$36</xm:f>
          </x14:formula1>
          <xm:sqref>I5:J5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EFFA8604BC3442A2CDF8C09A4FCB0D" ma:contentTypeVersion="27" ma:contentTypeDescription="Create a new document." ma:contentTypeScope="" ma:versionID="d3bdc55520bdb812b47de409d09c9a37">
  <xsd:schema xmlns:xsd="http://www.w3.org/2001/XMLSchema" xmlns:xs="http://www.w3.org/2001/XMLSchema" xmlns:p="http://schemas.microsoft.com/office/2006/metadata/properties" xmlns:ns2="de433072-a5a8-412f-8246-100b3cab4865" xmlns:ns3="507f52c7-a5ef-4642-bee9-de0d104445e0" targetNamespace="http://schemas.microsoft.com/office/2006/metadata/properties" ma:root="true" ma:fieldsID="1acae050f32f00cfb684ab82f223fa17" ns2:_="" ns3:_="">
    <xsd:import namespace="de433072-a5a8-412f-8246-100b3cab4865"/>
    <xsd:import namespace="507f52c7-a5ef-4642-bee9-de0d104445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CR" minOccurs="0"/>
                <xsd:element ref="ns2:MediaServiceGenerationTime" minOccurs="0"/>
                <xsd:element ref="ns2:MediaServiceEventHashCode" minOccurs="0"/>
                <xsd:element ref="ns3:_ip_UnifiedCompliancePolicyProperties" minOccurs="0"/>
                <xsd:element ref="ns3:_ip_UnifiedCompliancePolicyUIAction" minOccurs="0"/>
                <xsd:element ref="ns3:TaxCatchAll" minOccurs="0"/>
                <xsd:element ref="ns2:lcf76f155ced4ddcb4097134ff3c332f" minOccurs="0"/>
                <xsd:element ref="ns2:MediaLengthInSeconds" minOccurs="0"/>
                <xsd:element ref="ns2:MediaServiceDateTake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433072-a5a8-412f-8246-100b3cab4865" elementFormDefault="qualified">
    <xsd:import namespace="http://schemas.microsoft.com/office/2006/documentManagement/types"/>
    <xsd:import namespace="http://schemas.microsoft.com/office/infopath/2007/PartnerControls"/>
    <xsd:element name="MediaServiceMetadata" ma:index="6" nillable="true" ma:displayName="MediaServiceMetadata" ma:hidden="true" ma:internalName="MediaServiceMetadata" ma:readOnly="true">
      <xsd:simpleType>
        <xsd:restriction base="dms:Note"/>
      </xsd:simpleType>
    </xsd:element>
    <xsd:element name="MediaServiceFastMetadata" ma:index="7" nillable="true" ma:displayName="MediaServiceFastMetadata" ma:hidden="true" ma:internalName="MediaServiceFastMetadata" ma:readOnly="true">
      <xsd:simpleType>
        <xsd:restriction base="dms:Note"/>
      </xsd:simpleType>
    </xsd:element>
    <xsd:element name="MediaServiceOCR" ma:index="10" nillable="true" ma:displayName="Extracted Text" ma:internalName="MediaServiceOCR" ma:readOnly="true">
      <xsd:simpleType>
        <xsd:restriction base="dms:Note">
          <xsd:maxLength value="255"/>
        </xsd:restriction>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2c8d5fda-b97d-42c6-97e2-f76465e161c0" ma:termSetId="09814cd3-568e-fe90-9814-8d621ff8fb84" ma:anchorId="fba54fb3-c3e1-fe81-a776-ca4b69148c4d" ma:open="true" ma:isKeyword="false">
      <xsd:complexType>
        <xsd:sequence>
          <xsd:element ref="pc:Terms" minOccurs="0" maxOccurs="1"/>
        </xsd:sequence>
      </xsd:complex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7f52c7-a5ef-4642-bee9-de0d104445e0" elementFormDefault="qualified">
    <xsd:import namespace="http://schemas.microsoft.com/office/2006/documentManagement/types"/>
    <xsd:import namespace="http://schemas.microsoft.com/office/infopath/2007/PartnerControls"/>
    <xsd:element name="SharedWithUsers" ma:index="8"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ip_UnifiedCompliancePolicyProperties" ma:index="13" nillable="true" ma:displayName="Unified Compliance Policy Properties" ma:internalName="_ip_UnifiedCompliancePolicyProperties" ma:readOnly="false">
      <xsd:simpleType>
        <xsd:restriction base="dms:Note"/>
      </xsd:simpleType>
    </xsd:element>
    <xsd:element name="_ip_UnifiedCompliancePolicyUIAction" ma:index="14" nillable="true" ma:displayName="Unified Compliance Policy UI Action" ma:hidden="true" ma:internalName="_ip_UnifiedCompliancePolicyUIAction" ma:readOnly="false">
      <xsd:simpleType>
        <xsd:restriction base="dms:Text"/>
      </xsd:simpleType>
    </xsd:element>
    <xsd:element name="TaxCatchAll" ma:index="15" nillable="true" ma:displayName="Taxonomy Catch All Column" ma:hidden="true" ma:list="{15a1f44b-2645-4f6a-86f8-efa68134e903}" ma:internalName="TaxCatchAll" ma:showField="CatchAllData" ma:web="507f52c7-a5ef-4642-bee9-de0d10444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507f52c7-a5ef-4642-bee9-de0d104445e0" xsi:nil="true"/>
    <lcf76f155ced4ddcb4097134ff3c332f xmlns="de433072-a5a8-412f-8246-100b3cab4865">
      <Terms xmlns="http://schemas.microsoft.com/office/infopath/2007/PartnerControls"/>
    </lcf76f155ced4ddcb4097134ff3c332f>
    <_ip_UnifiedCompliancePolicyProperties xmlns="507f52c7-a5ef-4642-bee9-de0d104445e0" xsi:nil="true"/>
    <TaxCatchAll xmlns="507f52c7-a5ef-4642-bee9-de0d104445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85E68C0-6CD3-4529-952B-8F08E04D62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433072-a5a8-412f-8246-100b3cab4865"/>
    <ds:schemaRef ds:uri="507f52c7-a5ef-4642-bee9-de0d10444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F33C1C5-46A0-468F-B104-F37F22AAF791}">
  <ds:schemaRefs>
    <ds:schemaRef ds:uri="http://purl.org/dc/elements/1.1/"/>
    <ds:schemaRef ds:uri="http://schemas.microsoft.com/office/2006/documentManagement/types"/>
    <ds:schemaRef ds:uri="http://purl.org/dc/dcmitype/"/>
    <ds:schemaRef ds:uri="http://www.w3.org/XML/1998/namespace"/>
    <ds:schemaRef ds:uri="http://schemas.microsoft.com/office/2006/metadata/properties"/>
    <ds:schemaRef ds:uri="de433072-a5a8-412f-8246-100b3cab4865"/>
    <ds:schemaRef ds:uri="http://schemas.microsoft.com/office/infopath/2007/PartnerControls"/>
    <ds:schemaRef ds:uri="http://schemas.openxmlformats.org/package/2006/metadata/core-properties"/>
    <ds:schemaRef ds:uri="507f52c7-a5ef-4642-bee9-de0d104445e0"/>
    <ds:schemaRef ds:uri="http://purl.org/dc/terms/"/>
  </ds:schemaRefs>
</ds:datastoreItem>
</file>

<file path=customXml/itemProps3.xml><?xml version="1.0" encoding="utf-8"?>
<ds:datastoreItem xmlns:ds="http://schemas.openxmlformats.org/officeDocument/2006/customXml" ds:itemID="{DE902D6B-1139-4646-A24A-A41A205E22A4}">
  <ds:schemaRefs>
    <ds:schemaRef ds:uri="http://schemas.microsoft.com/sharepoint/v3/contenttype/forms"/>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data1</vt:lpstr>
      <vt:lpstr>data2</vt:lpstr>
      <vt:lpstr>COVER</vt:lpstr>
      <vt:lpstr>AW25 Summary</vt:lpstr>
      <vt:lpstr>Summary</vt:lpstr>
      <vt:lpstr>YoY Acute Summary</vt:lpstr>
      <vt:lpstr>YoY MH+CH Summary</vt:lpstr>
      <vt:lpstr>YoY Specialist Summary</vt:lpstr>
      <vt:lpstr>YoY FL Weekly</vt:lpstr>
      <vt:lpstr>YoY FL Charts</vt:lpstr>
      <vt:lpstr>FL Location</vt:lpstr>
      <vt:lpstr>Staff Role</vt:lpstr>
      <vt:lpstr>Ethnicity</vt:lpstr>
      <vt:lpstr>Age Group</vt:lpstr>
      <vt:lpstr>YoY FL Detail Acute</vt:lpstr>
      <vt:lpstr>YoY FL Detail MH+CH</vt:lpstr>
      <vt:lpstr>YoY FL Detail Specialist</vt:lpstr>
      <vt:lpstr>FL Pivots</vt:lpstr>
    </vt:vector>
  </TitlesOfParts>
  <Manager/>
  <Company>NHS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Oliver Haworth</dc:creator>
  <cp:keywords/>
  <dc:description/>
  <cp:lastModifiedBy>HAWORTH, Oliver (NHS ENGLAND)</cp:lastModifiedBy>
  <cp:revision/>
  <dcterms:created xsi:type="dcterms:W3CDTF">2023-09-29T15:48:35Z</dcterms:created>
  <dcterms:modified xsi:type="dcterms:W3CDTF">2026-07-09T17:46:23Z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0x010100CDEFFA8604BC3442A2CDF8C09A4FCB0D</vt:lpwstr>
  </property>
  <property fmtid="{D5CDD505-2E9C-101B-9397-08002B2CF9AE}" pid="3" name="MediaServiceImageTags">
    <vt:lpwstr/>
  </property>
</Properties>
</file>